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lolenick\Downloads\"/>
    </mc:Choice>
  </mc:AlternateContent>
  <xr:revisionPtr revIDLastSave="0" documentId="13_ncr:1_{980BF76E-DC22-4571-855F-130C74097542}" xr6:coauthVersionLast="47" xr6:coauthVersionMax="47" xr10:uidLastSave="{00000000-0000-0000-0000-000000000000}"/>
  <bookViews>
    <workbookView xWindow="28680" yWindow="-120" windowWidth="29040" windowHeight="15840" xr2:uid="{CD37ADBB-6F46-4F8B-BB67-A92FF8241867}"/>
  </bookViews>
  <sheets>
    <sheet name="Instructions" sheetId="11" r:id="rId1"/>
    <sheet name="PRODUCT 1" sheetId="1" r:id="rId2"/>
    <sheet name="PRODUCT 2" sheetId="8" r:id="rId3"/>
    <sheet name="PRODUCT 3" sheetId="9" r:id="rId4"/>
    <sheet name="Flow Indicator Parts List" sheetId="10" r:id="rId5"/>
    <sheet name="Parts List Seperate Manifolds" sheetId="12" state="hidden" r:id="rId6"/>
    <sheet name="Metering Orifice List Sheet" sheetId="14" state="hidden" r:id="rId7"/>
    <sheet name="Manifold Builder" sheetId="6" state="hidden" r:id="rId8"/>
    <sheet name="AdministrationPage" sheetId="2" state="hidden" r:id="rId9"/>
    <sheet name="CurrencyModifier" sheetId="18" state="hidden" r:id="rId10"/>
    <sheet name="Prices" sheetId="17" state="hidden" r:id="rId11"/>
  </sheets>
  <definedNames>
    <definedName name="_xlnm._FilterDatabase" localSheetId="6" hidden="1">'Metering Orifice List Sheet'!$B$9:$B$306</definedName>
    <definedName name="CenterFeedOptions_query">AdministrationPage!$F$2:$F$4</definedName>
    <definedName name="conversion" localSheetId="6">'Metering Orifice List Sheet'!#REF!</definedName>
    <definedName name="currency">AdministrationPage!$W$2:$W$3</definedName>
    <definedName name="fert_ratio">'Metering Orifice List Sheet'!#REF!</definedName>
    <definedName name="flowcolumn">AdministrationPage!$X$2:$X$4</definedName>
    <definedName name="Flowrates">'Metering Orifice List Sheet'!$B$9:$B$306</definedName>
    <definedName name="hosebarbs">AdministrationPage!$J$2:$J$3</definedName>
    <definedName name="Hosebarbs90">AdministrationPage!$O$2:$O$6</definedName>
    <definedName name="HoseBarbsStraight">AdministrationPage!$P$2:$P$6</definedName>
    <definedName name="InletOrientation_query">AdministrationPage!$E$2:$E$3</definedName>
    <definedName name="InletSizes_query">AdministrationPage!$D$2:$D$8</definedName>
    <definedName name="InletTypes_query">AdministrationPage!$H$2:$H$3</definedName>
    <definedName name="MeteringReqd_query">AdministrationPage!$G$2:$G$3</definedName>
    <definedName name="NoOutlets_options">AdministrationPage!$M$2</definedName>
    <definedName name="NoOutletsRequiredNoOutletsRequired">AdministrationPage!$U$2</definedName>
    <definedName name="outletorientation">AdministrationPage!$D$16:$D$35</definedName>
    <definedName name="OutletOrientation_query">AdministrationPage!$C$2:$C$4</definedName>
    <definedName name="outletpart">AdministrationPage!$B$16:$B$35</definedName>
    <definedName name="outletsize">AdministrationPage!$C$16:$C$35</definedName>
    <definedName name="OutletSize_query">AdministrationPage!$B$2:$B$10</definedName>
    <definedName name="outlettype">AdministrationPage!$E$16:$E$35</definedName>
    <definedName name="OutletType_query">AdministrationPage!$A$2:$A$6</definedName>
    <definedName name="_xlnm.Print_Area" localSheetId="4">'Flow Indicator Parts List'!$A$1:$I$47</definedName>
    <definedName name="_xlnm.Print_Area" localSheetId="5">'Parts List Seperate Manifolds'!$A$1:$I$67</definedName>
    <definedName name="_xlnm.Print_Area" localSheetId="1">'PRODUCT 1'!$A$1:$H$96</definedName>
    <definedName name="_xlnm.Print_Area" localSheetId="2">'PRODUCT 2'!$A$1:$H$95</definedName>
    <definedName name="_xlnm.Print_Area" localSheetId="3">'PRODUCT 3'!$A$1:$H$96</definedName>
    <definedName name="pushintube">AdministrationPage!$L$2:$L$3</definedName>
    <definedName name="PushInTube90">AdministrationPage!$R$2:$R$4</definedName>
    <definedName name="PushInTubeStraight">AdministrationPage!$Q$2:$Q$4</definedName>
    <definedName name="spacing" localSheetId="6">'Metering Orifice List Sheet'!#REF!</definedName>
    <definedName name="SquareLug_options">AdministrationPage!$N$2</definedName>
    <definedName name="squarelugport">AdministrationPage!$N$2</definedName>
    <definedName name="SquareLugPortSquareLugPort">AdministrationPage!$V$2</definedName>
    <definedName name="ThreadedFemale">AdministrationPage!$K$2:$K$3</definedName>
    <definedName name="ThreadedFemale90">AdministrationPage!$S$2</definedName>
    <definedName name="ThreadedFemaleStraight">AdministrationPage!$T$2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0" l="1"/>
  <c r="H3" i="10"/>
  <c r="B1" i="18"/>
  <c r="B2671" i="18"/>
  <c r="B2675" i="18"/>
  <c r="A2666" i="18"/>
  <c r="B2666" i="18" s="1"/>
  <c r="A2667" i="18"/>
  <c r="B2667" i="18" s="1"/>
  <c r="A2668" i="18"/>
  <c r="B2668" i="18" s="1"/>
  <c r="A2669" i="18"/>
  <c r="B2669" i="18" s="1"/>
  <c r="A2670" i="18"/>
  <c r="B2670" i="18" s="1"/>
  <c r="A2671" i="18"/>
  <c r="A2672" i="18"/>
  <c r="B2672" i="18" s="1"/>
  <c r="A2673" i="18"/>
  <c r="B2673" i="18" s="1"/>
  <c r="A2674" i="18"/>
  <c r="B2674" i="18" s="1"/>
  <c r="A2675" i="18"/>
  <c r="A2676" i="18"/>
  <c r="B2676" i="18" s="1"/>
  <c r="A2677" i="18"/>
  <c r="B2677" i="18" s="1"/>
  <c r="A2678" i="18"/>
  <c r="B2678" i="18" s="1"/>
  <c r="A2679" i="18"/>
  <c r="B2679" i="18" s="1"/>
  <c r="A2680" i="18"/>
  <c r="B2680" i="18" s="1"/>
  <c r="A2681" i="18"/>
  <c r="B2681" i="18" s="1"/>
  <c r="A2616" i="18"/>
  <c r="B2616" i="18" s="1"/>
  <c r="A2617" i="18"/>
  <c r="B2617" i="18" s="1"/>
  <c r="A2618" i="18"/>
  <c r="B2618" i="18" s="1"/>
  <c r="A2619" i="18"/>
  <c r="B2619" i="18" s="1"/>
  <c r="A2620" i="18"/>
  <c r="B2620" i="18" s="1"/>
  <c r="A2621" i="18"/>
  <c r="B2621" i="18" s="1"/>
  <c r="A2622" i="18"/>
  <c r="B2622" i="18" s="1"/>
  <c r="A2623" i="18"/>
  <c r="B2623" i="18" s="1"/>
  <c r="A2624" i="18"/>
  <c r="B2624" i="18" s="1"/>
  <c r="A2625" i="18"/>
  <c r="B2625" i="18" s="1"/>
  <c r="A2626" i="18"/>
  <c r="B2626" i="18" s="1"/>
  <c r="A2627" i="18"/>
  <c r="B2627" i="18" s="1"/>
  <c r="A2628" i="18"/>
  <c r="B2628" i="18" s="1"/>
  <c r="A2629" i="18"/>
  <c r="B2629" i="18" s="1"/>
  <c r="A2630" i="18"/>
  <c r="B2630" i="18" s="1"/>
  <c r="A2631" i="18"/>
  <c r="B2631" i="18" s="1"/>
  <c r="A2632" i="18"/>
  <c r="B2632" i="18" s="1"/>
  <c r="A2633" i="18"/>
  <c r="B2633" i="18" s="1"/>
  <c r="A2634" i="18"/>
  <c r="B2634" i="18" s="1"/>
  <c r="A2635" i="18"/>
  <c r="B2635" i="18" s="1"/>
  <c r="A2636" i="18"/>
  <c r="B2636" i="18" s="1"/>
  <c r="A2637" i="18"/>
  <c r="B2637" i="18" s="1"/>
  <c r="A2638" i="18"/>
  <c r="B2638" i="18" s="1"/>
  <c r="A2639" i="18"/>
  <c r="B2639" i="18" s="1"/>
  <c r="A2640" i="18"/>
  <c r="B2640" i="18" s="1"/>
  <c r="A2641" i="18"/>
  <c r="B2641" i="18" s="1"/>
  <c r="A2642" i="18"/>
  <c r="B2642" i="18" s="1"/>
  <c r="A2643" i="18"/>
  <c r="B2643" i="18" s="1"/>
  <c r="A2644" i="18"/>
  <c r="B2644" i="18" s="1"/>
  <c r="A2645" i="18"/>
  <c r="B2645" i="18" s="1"/>
  <c r="A2646" i="18"/>
  <c r="B2646" i="18" s="1"/>
  <c r="A2647" i="18"/>
  <c r="B2647" i="18" s="1"/>
  <c r="A2648" i="18"/>
  <c r="B2648" i="18" s="1"/>
  <c r="A2649" i="18"/>
  <c r="B2649" i="18" s="1"/>
  <c r="A2650" i="18"/>
  <c r="B2650" i="18" s="1"/>
  <c r="A2651" i="18"/>
  <c r="B2651" i="18" s="1"/>
  <c r="A2652" i="18"/>
  <c r="B2652" i="18" s="1"/>
  <c r="A2653" i="18"/>
  <c r="B2653" i="18" s="1"/>
  <c r="A2654" i="18"/>
  <c r="B2654" i="18" s="1"/>
  <c r="A2655" i="18"/>
  <c r="B2655" i="18" s="1"/>
  <c r="A2656" i="18"/>
  <c r="B2656" i="18" s="1"/>
  <c r="A2657" i="18"/>
  <c r="B2657" i="18" s="1"/>
  <c r="A2658" i="18"/>
  <c r="B2658" i="18" s="1"/>
  <c r="A2659" i="18"/>
  <c r="B2659" i="18" s="1"/>
  <c r="A2660" i="18"/>
  <c r="B2660" i="18" s="1"/>
  <c r="A2661" i="18"/>
  <c r="B2661" i="18" s="1"/>
  <c r="A2662" i="18"/>
  <c r="B2662" i="18" s="1"/>
  <c r="A2663" i="18"/>
  <c r="B2663" i="18" s="1"/>
  <c r="A2664" i="18"/>
  <c r="B2664" i="18" s="1"/>
  <c r="A2665" i="18"/>
  <c r="B2665" i="18" s="1"/>
  <c r="A2514" i="18"/>
  <c r="B2514" i="18" s="1"/>
  <c r="A2515" i="18"/>
  <c r="B2515" i="18" s="1"/>
  <c r="A2516" i="18"/>
  <c r="B2516" i="18" s="1"/>
  <c r="A2517" i="18"/>
  <c r="B2517" i="18" s="1"/>
  <c r="A2518" i="18"/>
  <c r="B2518" i="18" s="1"/>
  <c r="A2519" i="18"/>
  <c r="B2519" i="18" s="1"/>
  <c r="A2520" i="18"/>
  <c r="B2520" i="18" s="1"/>
  <c r="A2521" i="18"/>
  <c r="B2521" i="18" s="1"/>
  <c r="A2522" i="18"/>
  <c r="B2522" i="18" s="1"/>
  <c r="A2523" i="18"/>
  <c r="B2523" i="18" s="1"/>
  <c r="A2524" i="18"/>
  <c r="B2524" i="18" s="1"/>
  <c r="A2525" i="18"/>
  <c r="B2525" i="18" s="1"/>
  <c r="A2526" i="18"/>
  <c r="B2526" i="18" s="1"/>
  <c r="A2527" i="18"/>
  <c r="B2527" i="18" s="1"/>
  <c r="A2528" i="18"/>
  <c r="B2528" i="18" s="1"/>
  <c r="A2529" i="18"/>
  <c r="B2529" i="18" s="1"/>
  <c r="A2530" i="18"/>
  <c r="B2530" i="18" s="1"/>
  <c r="A2531" i="18"/>
  <c r="B2531" i="18" s="1"/>
  <c r="A2532" i="18"/>
  <c r="B2532" i="18" s="1"/>
  <c r="A2533" i="18"/>
  <c r="B2533" i="18" s="1"/>
  <c r="A2534" i="18"/>
  <c r="B2534" i="18" s="1"/>
  <c r="A2535" i="18"/>
  <c r="B2535" i="18" s="1"/>
  <c r="A2536" i="18"/>
  <c r="B2536" i="18" s="1"/>
  <c r="A2537" i="18"/>
  <c r="B2537" i="18" s="1"/>
  <c r="A2538" i="18"/>
  <c r="B2538" i="18" s="1"/>
  <c r="A2539" i="18"/>
  <c r="B2539" i="18" s="1"/>
  <c r="A2540" i="18"/>
  <c r="B2540" i="18" s="1"/>
  <c r="A2541" i="18"/>
  <c r="B2541" i="18" s="1"/>
  <c r="A2542" i="18"/>
  <c r="B2542" i="18" s="1"/>
  <c r="A2543" i="18"/>
  <c r="B2543" i="18" s="1"/>
  <c r="A2544" i="18"/>
  <c r="B2544" i="18" s="1"/>
  <c r="A2545" i="18"/>
  <c r="B2545" i="18" s="1"/>
  <c r="A2546" i="18"/>
  <c r="B2546" i="18" s="1"/>
  <c r="A2547" i="18"/>
  <c r="B2547" i="18" s="1"/>
  <c r="A2548" i="18"/>
  <c r="B2548" i="18" s="1"/>
  <c r="A2549" i="18"/>
  <c r="B2549" i="18" s="1"/>
  <c r="A2550" i="18"/>
  <c r="B2550" i="18" s="1"/>
  <c r="A2551" i="18"/>
  <c r="B2551" i="18" s="1"/>
  <c r="A2552" i="18"/>
  <c r="B2552" i="18" s="1"/>
  <c r="A2553" i="18"/>
  <c r="B2553" i="18" s="1"/>
  <c r="A2554" i="18"/>
  <c r="B2554" i="18" s="1"/>
  <c r="A2555" i="18"/>
  <c r="B2555" i="18" s="1"/>
  <c r="A2556" i="18"/>
  <c r="B2556" i="18" s="1"/>
  <c r="A2557" i="18"/>
  <c r="B2557" i="18" s="1"/>
  <c r="A2558" i="18"/>
  <c r="B2558" i="18" s="1"/>
  <c r="A2559" i="18"/>
  <c r="B2559" i="18" s="1"/>
  <c r="A2560" i="18"/>
  <c r="B2560" i="18" s="1"/>
  <c r="A2561" i="18"/>
  <c r="B2561" i="18" s="1"/>
  <c r="A2562" i="18"/>
  <c r="B2562" i="18" s="1"/>
  <c r="A2563" i="18"/>
  <c r="B2563" i="18" s="1"/>
  <c r="A2564" i="18"/>
  <c r="B2564" i="18" s="1"/>
  <c r="A2565" i="18"/>
  <c r="B2565" i="18" s="1"/>
  <c r="A2566" i="18"/>
  <c r="B2566" i="18" s="1"/>
  <c r="A2567" i="18"/>
  <c r="B2567" i="18" s="1"/>
  <c r="A2568" i="18"/>
  <c r="B2568" i="18" s="1"/>
  <c r="A2569" i="18"/>
  <c r="B2569" i="18" s="1"/>
  <c r="A2570" i="18"/>
  <c r="B2570" i="18" s="1"/>
  <c r="A2571" i="18"/>
  <c r="B2571" i="18" s="1"/>
  <c r="A2572" i="18"/>
  <c r="B2572" i="18" s="1"/>
  <c r="A2573" i="18"/>
  <c r="B2573" i="18" s="1"/>
  <c r="A2574" i="18"/>
  <c r="B2574" i="18" s="1"/>
  <c r="A2575" i="18"/>
  <c r="B2575" i="18" s="1"/>
  <c r="A2576" i="18"/>
  <c r="B2576" i="18" s="1"/>
  <c r="A2577" i="18"/>
  <c r="B2577" i="18" s="1"/>
  <c r="A2578" i="18"/>
  <c r="B2578" i="18" s="1"/>
  <c r="A2579" i="18"/>
  <c r="B2579" i="18" s="1"/>
  <c r="A2580" i="18"/>
  <c r="B2580" i="18" s="1"/>
  <c r="A2581" i="18"/>
  <c r="B2581" i="18" s="1"/>
  <c r="A2582" i="18"/>
  <c r="B2582" i="18" s="1"/>
  <c r="A2583" i="18"/>
  <c r="B2583" i="18" s="1"/>
  <c r="A2584" i="18"/>
  <c r="B2584" i="18" s="1"/>
  <c r="A2585" i="18"/>
  <c r="B2585" i="18" s="1"/>
  <c r="A2586" i="18"/>
  <c r="B2586" i="18" s="1"/>
  <c r="A2587" i="18"/>
  <c r="B2587" i="18" s="1"/>
  <c r="A2588" i="18"/>
  <c r="B2588" i="18" s="1"/>
  <c r="A2589" i="18"/>
  <c r="B2589" i="18" s="1"/>
  <c r="A2590" i="18"/>
  <c r="B2590" i="18" s="1"/>
  <c r="A2591" i="18"/>
  <c r="B2591" i="18" s="1"/>
  <c r="A2592" i="18"/>
  <c r="B2592" i="18" s="1"/>
  <c r="A2593" i="18"/>
  <c r="B2593" i="18" s="1"/>
  <c r="A2594" i="18"/>
  <c r="B2594" i="18" s="1"/>
  <c r="A2595" i="18"/>
  <c r="B2595" i="18" s="1"/>
  <c r="A2596" i="18"/>
  <c r="B2596" i="18" s="1"/>
  <c r="A2597" i="18"/>
  <c r="B2597" i="18" s="1"/>
  <c r="A2598" i="18"/>
  <c r="B2598" i="18" s="1"/>
  <c r="A2599" i="18"/>
  <c r="B2599" i="18" s="1"/>
  <c r="A2600" i="18"/>
  <c r="B2600" i="18" s="1"/>
  <c r="A2601" i="18"/>
  <c r="B2601" i="18" s="1"/>
  <c r="A2602" i="18"/>
  <c r="B2602" i="18" s="1"/>
  <c r="A2603" i="18"/>
  <c r="B2603" i="18" s="1"/>
  <c r="A2604" i="18"/>
  <c r="B2604" i="18" s="1"/>
  <c r="A2605" i="18"/>
  <c r="B2605" i="18" s="1"/>
  <c r="A2606" i="18"/>
  <c r="B2606" i="18" s="1"/>
  <c r="A2607" i="18"/>
  <c r="B2607" i="18" s="1"/>
  <c r="A2608" i="18"/>
  <c r="B2608" i="18" s="1"/>
  <c r="A2609" i="18"/>
  <c r="B2609" i="18" s="1"/>
  <c r="A2610" i="18"/>
  <c r="B2610" i="18" s="1"/>
  <c r="A2611" i="18"/>
  <c r="B2611" i="18" s="1"/>
  <c r="A2612" i="18"/>
  <c r="B2612" i="18" s="1"/>
  <c r="A2613" i="18"/>
  <c r="B2613" i="18" s="1"/>
  <c r="A2614" i="18"/>
  <c r="B2614" i="18" s="1"/>
  <c r="A2615" i="18"/>
  <c r="B2615" i="18" s="1"/>
  <c r="A2" i="18"/>
  <c r="B2" i="18" s="1"/>
  <c r="A3" i="18"/>
  <c r="B3" i="18" s="1"/>
  <c r="A4" i="18"/>
  <c r="B4" i="18" s="1"/>
  <c r="A5" i="18"/>
  <c r="B5" i="18" s="1"/>
  <c r="A6" i="18"/>
  <c r="B6" i="18" s="1"/>
  <c r="A7" i="18"/>
  <c r="B7" i="18" s="1"/>
  <c r="A8" i="18"/>
  <c r="B8" i="18" s="1"/>
  <c r="A9" i="18"/>
  <c r="B9" i="18" s="1"/>
  <c r="A10" i="18"/>
  <c r="B10" i="18" s="1"/>
  <c r="A11" i="18"/>
  <c r="B11" i="18" s="1"/>
  <c r="A12" i="18"/>
  <c r="B12" i="18" s="1"/>
  <c r="A13" i="18"/>
  <c r="B13" i="18" s="1"/>
  <c r="A14" i="18"/>
  <c r="B14" i="18" s="1"/>
  <c r="A15" i="18"/>
  <c r="B15" i="18" s="1"/>
  <c r="A16" i="18"/>
  <c r="B16" i="18" s="1"/>
  <c r="A17" i="18"/>
  <c r="B17" i="18" s="1"/>
  <c r="A18" i="18"/>
  <c r="B18" i="18" s="1"/>
  <c r="A19" i="18"/>
  <c r="B19" i="18" s="1"/>
  <c r="A20" i="18"/>
  <c r="B20" i="18" s="1"/>
  <c r="A21" i="18"/>
  <c r="B21" i="18" s="1"/>
  <c r="A22" i="18"/>
  <c r="B22" i="18" s="1"/>
  <c r="A23" i="18"/>
  <c r="B23" i="18" s="1"/>
  <c r="A24" i="18"/>
  <c r="B24" i="18" s="1"/>
  <c r="A25" i="18"/>
  <c r="B25" i="18" s="1"/>
  <c r="A26" i="18"/>
  <c r="B26" i="18" s="1"/>
  <c r="A27" i="18"/>
  <c r="B27" i="18" s="1"/>
  <c r="A28" i="18"/>
  <c r="B28" i="18" s="1"/>
  <c r="A29" i="18"/>
  <c r="B29" i="18" s="1"/>
  <c r="A30" i="18"/>
  <c r="B30" i="18" s="1"/>
  <c r="A31" i="18"/>
  <c r="B31" i="18" s="1"/>
  <c r="A32" i="18"/>
  <c r="B32" i="18" s="1"/>
  <c r="A33" i="18"/>
  <c r="B33" i="18" s="1"/>
  <c r="A34" i="18"/>
  <c r="B34" i="18" s="1"/>
  <c r="A35" i="18"/>
  <c r="B35" i="18" s="1"/>
  <c r="A36" i="18"/>
  <c r="B36" i="18" s="1"/>
  <c r="A37" i="18"/>
  <c r="B37" i="18" s="1"/>
  <c r="A38" i="18"/>
  <c r="B38" i="18" s="1"/>
  <c r="A39" i="18"/>
  <c r="B39" i="18" s="1"/>
  <c r="A40" i="18"/>
  <c r="B40" i="18" s="1"/>
  <c r="A41" i="18"/>
  <c r="B41" i="18" s="1"/>
  <c r="A42" i="18"/>
  <c r="B42" i="18" s="1"/>
  <c r="A43" i="18"/>
  <c r="B43" i="18" s="1"/>
  <c r="A44" i="18"/>
  <c r="B44" i="18" s="1"/>
  <c r="A45" i="18"/>
  <c r="B45" i="18" s="1"/>
  <c r="A46" i="18"/>
  <c r="B46" i="18" s="1"/>
  <c r="A47" i="18"/>
  <c r="B47" i="18" s="1"/>
  <c r="A48" i="18"/>
  <c r="B48" i="18" s="1"/>
  <c r="A49" i="18"/>
  <c r="B49" i="18" s="1"/>
  <c r="A50" i="18"/>
  <c r="B50" i="18" s="1"/>
  <c r="A51" i="18"/>
  <c r="B51" i="18" s="1"/>
  <c r="A52" i="18"/>
  <c r="B52" i="18" s="1"/>
  <c r="A53" i="18"/>
  <c r="B53" i="18" s="1"/>
  <c r="A54" i="18"/>
  <c r="B54" i="18" s="1"/>
  <c r="A55" i="18"/>
  <c r="B55" i="18" s="1"/>
  <c r="A56" i="18"/>
  <c r="B56" i="18" s="1"/>
  <c r="A57" i="18"/>
  <c r="B57" i="18" s="1"/>
  <c r="A58" i="18"/>
  <c r="B58" i="18" s="1"/>
  <c r="A59" i="18"/>
  <c r="B59" i="18" s="1"/>
  <c r="A60" i="18"/>
  <c r="B60" i="18" s="1"/>
  <c r="A61" i="18"/>
  <c r="B61" i="18" s="1"/>
  <c r="A62" i="18"/>
  <c r="B62" i="18" s="1"/>
  <c r="A63" i="18"/>
  <c r="B63" i="18" s="1"/>
  <c r="A64" i="18"/>
  <c r="B64" i="18" s="1"/>
  <c r="A65" i="18"/>
  <c r="B65" i="18" s="1"/>
  <c r="A66" i="18"/>
  <c r="B66" i="18" s="1"/>
  <c r="A67" i="18"/>
  <c r="B67" i="18" s="1"/>
  <c r="A68" i="18"/>
  <c r="B68" i="18" s="1"/>
  <c r="A69" i="18"/>
  <c r="B69" i="18" s="1"/>
  <c r="A70" i="18"/>
  <c r="B70" i="18" s="1"/>
  <c r="A71" i="18"/>
  <c r="B71" i="18" s="1"/>
  <c r="A72" i="18"/>
  <c r="B72" i="18" s="1"/>
  <c r="A73" i="18"/>
  <c r="B73" i="18" s="1"/>
  <c r="A74" i="18"/>
  <c r="B74" i="18" s="1"/>
  <c r="A75" i="18"/>
  <c r="B75" i="18" s="1"/>
  <c r="A76" i="18"/>
  <c r="B76" i="18" s="1"/>
  <c r="A77" i="18"/>
  <c r="B77" i="18" s="1"/>
  <c r="A78" i="18"/>
  <c r="B78" i="18" s="1"/>
  <c r="A79" i="18"/>
  <c r="B79" i="18" s="1"/>
  <c r="A80" i="18"/>
  <c r="B80" i="18" s="1"/>
  <c r="A81" i="18"/>
  <c r="B81" i="18" s="1"/>
  <c r="A82" i="18"/>
  <c r="B82" i="18" s="1"/>
  <c r="A83" i="18"/>
  <c r="B83" i="18" s="1"/>
  <c r="A84" i="18"/>
  <c r="B84" i="18" s="1"/>
  <c r="A85" i="18"/>
  <c r="B85" i="18" s="1"/>
  <c r="A86" i="18"/>
  <c r="B86" i="18" s="1"/>
  <c r="A87" i="18"/>
  <c r="B87" i="18" s="1"/>
  <c r="A88" i="18"/>
  <c r="B88" i="18" s="1"/>
  <c r="A89" i="18"/>
  <c r="B89" i="18" s="1"/>
  <c r="A90" i="18"/>
  <c r="B90" i="18" s="1"/>
  <c r="A91" i="18"/>
  <c r="B91" i="18" s="1"/>
  <c r="A92" i="18"/>
  <c r="B92" i="18" s="1"/>
  <c r="A93" i="18"/>
  <c r="B93" i="18" s="1"/>
  <c r="A94" i="18"/>
  <c r="B94" i="18" s="1"/>
  <c r="A95" i="18"/>
  <c r="B95" i="18" s="1"/>
  <c r="A96" i="18"/>
  <c r="B96" i="18" s="1"/>
  <c r="A97" i="18"/>
  <c r="B97" i="18" s="1"/>
  <c r="A98" i="18"/>
  <c r="B98" i="18" s="1"/>
  <c r="A99" i="18"/>
  <c r="B99" i="18" s="1"/>
  <c r="A100" i="18"/>
  <c r="B100" i="18" s="1"/>
  <c r="A101" i="18"/>
  <c r="B101" i="18" s="1"/>
  <c r="A102" i="18"/>
  <c r="B102" i="18" s="1"/>
  <c r="A103" i="18"/>
  <c r="B103" i="18" s="1"/>
  <c r="A104" i="18"/>
  <c r="B104" i="18" s="1"/>
  <c r="A105" i="18"/>
  <c r="B105" i="18" s="1"/>
  <c r="A106" i="18"/>
  <c r="B106" i="18" s="1"/>
  <c r="A107" i="18"/>
  <c r="B107" i="18" s="1"/>
  <c r="A108" i="18"/>
  <c r="B108" i="18" s="1"/>
  <c r="A109" i="18"/>
  <c r="B109" i="18" s="1"/>
  <c r="A110" i="18"/>
  <c r="B110" i="18" s="1"/>
  <c r="A111" i="18"/>
  <c r="B111" i="18" s="1"/>
  <c r="A112" i="18"/>
  <c r="B112" i="18" s="1"/>
  <c r="A113" i="18"/>
  <c r="B113" i="18" s="1"/>
  <c r="A114" i="18"/>
  <c r="B114" i="18" s="1"/>
  <c r="A115" i="18"/>
  <c r="B115" i="18" s="1"/>
  <c r="A116" i="18"/>
  <c r="B116" i="18" s="1"/>
  <c r="A117" i="18"/>
  <c r="B117" i="18" s="1"/>
  <c r="A118" i="18"/>
  <c r="B118" i="18" s="1"/>
  <c r="A119" i="18"/>
  <c r="B119" i="18" s="1"/>
  <c r="A120" i="18"/>
  <c r="B120" i="18" s="1"/>
  <c r="A121" i="18"/>
  <c r="B121" i="18" s="1"/>
  <c r="A122" i="18"/>
  <c r="B122" i="18" s="1"/>
  <c r="A123" i="18"/>
  <c r="B123" i="18" s="1"/>
  <c r="A124" i="18"/>
  <c r="B124" i="18" s="1"/>
  <c r="A125" i="18"/>
  <c r="B125" i="18" s="1"/>
  <c r="A126" i="18"/>
  <c r="B126" i="18" s="1"/>
  <c r="A127" i="18"/>
  <c r="B127" i="18" s="1"/>
  <c r="A128" i="18"/>
  <c r="B128" i="18" s="1"/>
  <c r="A129" i="18"/>
  <c r="B129" i="18" s="1"/>
  <c r="A130" i="18"/>
  <c r="B130" i="18" s="1"/>
  <c r="A131" i="18"/>
  <c r="B131" i="18" s="1"/>
  <c r="A132" i="18"/>
  <c r="B132" i="18" s="1"/>
  <c r="A133" i="18"/>
  <c r="B133" i="18" s="1"/>
  <c r="A134" i="18"/>
  <c r="B134" i="18" s="1"/>
  <c r="A135" i="18"/>
  <c r="B135" i="18" s="1"/>
  <c r="A136" i="18"/>
  <c r="B136" i="18" s="1"/>
  <c r="A137" i="18"/>
  <c r="B137" i="18" s="1"/>
  <c r="A138" i="18"/>
  <c r="B138" i="18" s="1"/>
  <c r="A139" i="18"/>
  <c r="B139" i="18" s="1"/>
  <c r="A140" i="18"/>
  <c r="B140" i="18" s="1"/>
  <c r="A141" i="18"/>
  <c r="B141" i="18" s="1"/>
  <c r="A142" i="18"/>
  <c r="B142" i="18" s="1"/>
  <c r="A143" i="18"/>
  <c r="B143" i="18" s="1"/>
  <c r="A144" i="18"/>
  <c r="B144" i="18" s="1"/>
  <c r="A145" i="18"/>
  <c r="B145" i="18" s="1"/>
  <c r="A146" i="18"/>
  <c r="B146" i="18" s="1"/>
  <c r="A147" i="18"/>
  <c r="B147" i="18" s="1"/>
  <c r="A148" i="18"/>
  <c r="B148" i="18" s="1"/>
  <c r="A149" i="18"/>
  <c r="B149" i="18" s="1"/>
  <c r="A150" i="18"/>
  <c r="B150" i="18" s="1"/>
  <c r="A151" i="18"/>
  <c r="B151" i="18" s="1"/>
  <c r="A152" i="18"/>
  <c r="B152" i="18" s="1"/>
  <c r="A153" i="18"/>
  <c r="B153" i="18" s="1"/>
  <c r="A154" i="18"/>
  <c r="B154" i="18" s="1"/>
  <c r="A155" i="18"/>
  <c r="B155" i="18" s="1"/>
  <c r="A156" i="18"/>
  <c r="B156" i="18" s="1"/>
  <c r="A157" i="18"/>
  <c r="B157" i="18" s="1"/>
  <c r="A158" i="18"/>
  <c r="B158" i="18" s="1"/>
  <c r="A159" i="18"/>
  <c r="B159" i="18" s="1"/>
  <c r="A160" i="18"/>
  <c r="B160" i="18" s="1"/>
  <c r="A161" i="18"/>
  <c r="B161" i="18" s="1"/>
  <c r="A162" i="18"/>
  <c r="B162" i="18" s="1"/>
  <c r="A163" i="18"/>
  <c r="B163" i="18" s="1"/>
  <c r="A164" i="18"/>
  <c r="B164" i="18" s="1"/>
  <c r="A165" i="18"/>
  <c r="B165" i="18" s="1"/>
  <c r="A166" i="18"/>
  <c r="B166" i="18" s="1"/>
  <c r="A167" i="18"/>
  <c r="B167" i="18" s="1"/>
  <c r="A168" i="18"/>
  <c r="B168" i="18" s="1"/>
  <c r="A169" i="18"/>
  <c r="B169" i="18" s="1"/>
  <c r="A170" i="18"/>
  <c r="B170" i="18" s="1"/>
  <c r="A171" i="18"/>
  <c r="B171" i="18" s="1"/>
  <c r="A172" i="18"/>
  <c r="B172" i="18" s="1"/>
  <c r="A173" i="18"/>
  <c r="B173" i="18" s="1"/>
  <c r="A174" i="18"/>
  <c r="B174" i="18" s="1"/>
  <c r="A175" i="18"/>
  <c r="B175" i="18" s="1"/>
  <c r="A176" i="18"/>
  <c r="B176" i="18" s="1"/>
  <c r="A177" i="18"/>
  <c r="B177" i="18" s="1"/>
  <c r="A178" i="18"/>
  <c r="B178" i="18" s="1"/>
  <c r="A179" i="18"/>
  <c r="B179" i="18" s="1"/>
  <c r="A180" i="18"/>
  <c r="B180" i="18" s="1"/>
  <c r="A181" i="18"/>
  <c r="B181" i="18" s="1"/>
  <c r="A182" i="18"/>
  <c r="B182" i="18" s="1"/>
  <c r="A183" i="18"/>
  <c r="B183" i="18" s="1"/>
  <c r="A184" i="18"/>
  <c r="B184" i="18" s="1"/>
  <c r="A185" i="18"/>
  <c r="B185" i="18" s="1"/>
  <c r="A186" i="18"/>
  <c r="B186" i="18" s="1"/>
  <c r="A187" i="18"/>
  <c r="B187" i="18" s="1"/>
  <c r="A188" i="18"/>
  <c r="B188" i="18" s="1"/>
  <c r="A189" i="18"/>
  <c r="B189" i="18" s="1"/>
  <c r="A190" i="18"/>
  <c r="B190" i="18" s="1"/>
  <c r="A191" i="18"/>
  <c r="B191" i="18" s="1"/>
  <c r="A192" i="18"/>
  <c r="B192" i="18" s="1"/>
  <c r="A193" i="18"/>
  <c r="B193" i="18" s="1"/>
  <c r="A194" i="18"/>
  <c r="B194" i="18" s="1"/>
  <c r="A195" i="18"/>
  <c r="B195" i="18" s="1"/>
  <c r="A196" i="18"/>
  <c r="B196" i="18" s="1"/>
  <c r="A197" i="18"/>
  <c r="B197" i="18" s="1"/>
  <c r="A198" i="18"/>
  <c r="B198" i="18" s="1"/>
  <c r="A199" i="18"/>
  <c r="B199" i="18" s="1"/>
  <c r="A200" i="18"/>
  <c r="B200" i="18" s="1"/>
  <c r="A201" i="18"/>
  <c r="B201" i="18" s="1"/>
  <c r="A202" i="18"/>
  <c r="B202" i="18" s="1"/>
  <c r="A203" i="18"/>
  <c r="B203" i="18" s="1"/>
  <c r="A204" i="18"/>
  <c r="B204" i="18" s="1"/>
  <c r="A205" i="18"/>
  <c r="B205" i="18" s="1"/>
  <c r="A206" i="18"/>
  <c r="B206" i="18" s="1"/>
  <c r="A207" i="18"/>
  <c r="B207" i="18" s="1"/>
  <c r="A208" i="18"/>
  <c r="B208" i="18" s="1"/>
  <c r="A209" i="18"/>
  <c r="B209" i="18" s="1"/>
  <c r="A210" i="18"/>
  <c r="B210" i="18" s="1"/>
  <c r="A211" i="18"/>
  <c r="B211" i="18" s="1"/>
  <c r="A212" i="18"/>
  <c r="B212" i="18" s="1"/>
  <c r="A213" i="18"/>
  <c r="B213" i="18" s="1"/>
  <c r="A214" i="18"/>
  <c r="B214" i="18" s="1"/>
  <c r="A215" i="18"/>
  <c r="B215" i="18" s="1"/>
  <c r="A216" i="18"/>
  <c r="B216" i="18" s="1"/>
  <c r="A217" i="18"/>
  <c r="B217" i="18" s="1"/>
  <c r="A218" i="18"/>
  <c r="B218" i="18" s="1"/>
  <c r="A219" i="18"/>
  <c r="B219" i="18" s="1"/>
  <c r="A220" i="18"/>
  <c r="B220" i="18" s="1"/>
  <c r="A221" i="18"/>
  <c r="B221" i="18" s="1"/>
  <c r="A222" i="18"/>
  <c r="B222" i="18" s="1"/>
  <c r="A223" i="18"/>
  <c r="B223" i="18" s="1"/>
  <c r="A224" i="18"/>
  <c r="B224" i="18" s="1"/>
  <c r="A225" i="18"/>
  <c r="B225" i="18" s="1"/>
  <c r="A226" i="18"/>
  <c r="B226" i="18" s="1"/>
  <c r="A227" i="18"/>
  <c r="B227" i="18" s="1"/>
  <c r="A228" i="18"/>
  <c r="B228" i="18" s="1"/>
  <c r="A229" i="18"/>
  <c r="B229" i="18" s="1"/>
  <c r="A230" i="18"/>
  <c r="B230" i="18" s="1"/>
  <c r="A231" i="18"/>
  <c r="B231" i="18" s="1"/>
  <c r="A232" i="18"/>
  <c r="B232" i="18" s="1"/>
  <c r="A233" i="18"/>
  <c r="B233" i="18" s="1"/>
  <c r="A234" i="18"/>
  <c r="B234" i="18" s="1"/>
  <c r="A235" i="18"/>
  <c r="B235" i="18" s="1"/>
  <c r="A236" i="18"/>
  <c r="B236" i="18" s="1"/>
  <c r="A237" i="18"/>
  <c r="B237" i="18" s="1"/>
  <c r="A238" i="18"/>
  <c r="B238" i="18" s="1"/>
  <c r="A239" i="18"/>
  <c r="B239" i="18" s="1"/>
  <c r="A240" i="18"/>
  <c r="B240" i="18" s="1"/>
  <c r="A241" i="18"/>
  <c r="B241" i="18" s="1"/>
  <c r="A242" i="18"/>
  <c r="B242" i="18" s="1"/>
  <c r="A243" i="18"/>
  <c r="B243" i="18" s="1"/>
  <c r="A244" i="18"/>
  <c r="B244" i="18" s="1"/>
  <c r="A245" i="18"/>
  <c r="B245" i="18" s="1"/>
  <c r="A246" i="18"/>
  <c r="B246" i="18" s="1"/>
  <c r="A247" i="18"/>
  <c r="B247" i="18" s="1"/>
  <c r="A248" i="18"/>
  <c r="B248" i="18" s="1"/>
  <c r="A249" i="18"/>
  <c r="B249" i="18" s="1"/>
  <c r="A250" i="18"/>
  <c r="B250" i="18" s="1"/>
  <c r="A251" i="18"/>
  <c r="B251" i="18" s="1"/>
  <c r="A252" i="18"/>
  <c r="B252" i="18" s="1"/>
  <c r="A253" i="18"/>
  <c r="B253" i="18" s="1"/>
  <c r="A254" i="18"/>
  <c r="B254" i="18" s="1"/>
  <c r="A255" i="18"/>
  <c r="B255" i="18" s="1"/>
  <c r="A256" i="18"/>
  <c r="B256" i="18" s="1"/>
  <c r="A257" i="18"/>
  <c r="B257" i="18" s="1"/>
  <c r="A258" i="18"/>
  <c r="B258" i="18" s="1"/>
  <c r="A259" i="18"/>
  <c r="B259" i="18" s="1"/>
  <c r="A260" i="18"/>
  <c r="B260" i="18" s="1"/>
  <c r="A261" i="18"/>
  <c r="B261" i="18" s="1"/>
  <c r="A262" i="18"/>
  <c r="B262" i="18" s="1"/>
  <c r="A263" i="18"/>
  <c r="B263" i="18" s="1"/>
  <c r="A264" i="18"/>
  <c r="B264" i="18" s="1"/>
  <c r="A265" i="18"/>
  <c r="B265" i="18" s="1"/>
  <c r="A266" i="18"/>
  <c r="B266" i="18" s="1"/>
  <c r="A267" i="18"/>
  <c r="B267" i="18" s="1"/>
  <c r="A268" i="18"/>
  <c r="B268" i="18" s="1"/>
  <c r="A269" i="18"/>
  <c r="B269" i="18" s="1"/>
  <c r="A270" i="18"/>
  <c r="B270" i="18" s="1"/>
  <c r="A271" i="18"/>
  <c r="B271" i="18" s="1"/>
  <c r="A272" i="18"/>
  <c r="B272" i="18" s="1"/>
  <c r="A273" i="18"/>
  <c r="B273" i="18" s="1"/>
  <c r="A274" i="18"/>
  <c r="B274" i="18" s="1"/>
  <c r="A275" i="18"/>
  <c r="B275" i="18" s="1"/>
  <c r="A276" i="18"/>
  <c r="B276" i="18" s="1"/>
  <c r="A277" i="18"/>
  <c r="B277" i="18" s="1"/>
  <c r="A278" i="18"/>
  <c r="B278" i="18" s="1"/>
  <c r="A279" i="18"/>
  <c r="B279" i="18" s="1"/>
  <c r="A280" i="18"/>
  <c r="B280" i="18" s="1"/>
  <c r="A281" i="18"/>
  <c r="B281" i="18" s="1"/>
  <c r="A282" i="18"/>
  <c r="B282" i="18" s="1"/>
  <c r="A283" i="18"/>
  <c r="B283" i="18" s="1"/>
  <c r="A284" i="18"/>
  <c r="B284" i="18" s="1"/>
  <c r="A285" i="18"/>
  <c r="B285" i="18" s="1"/>
  <c r="A286" i="18"/>
  <c r="B286" i="18" s="1"/>
  <c r="A287" i="18"/>
  <c r="B287" i="18" s="1"/>
  <c r="A288" i="18"/>
  <c r="B288" i="18" s="1"/>
  <c r="A289" i="18"/>
  <c r="B289" i="18" s="1"/>
  <c r="A290" i="18"/>
  <c r="B290" i="18" s="1"/>
  <c r="A291" i="18"/>
  <c r="B291" i="18" s="1"/>
  <c r="A292" i="18"/>
  <c r="B292" i="18" s="1"/>
  <c r="A293" i="18"/>
  <c r="B293" i="18" s="1"/>
  <c r="A294" i="18"/>
  <c r="B294" i="18" s="1"/>
  <c r="A295" i="18"/>
  <c r="B295" i="18" s="1"/>
  <c r="A296" i="18"/>
  <c r="B296" i="18" s="1"/>
  <c r="A297" i="18"/>
  <c r="B297" i="18" s="1"/>
  <c r="A298" i="18"/>
  <c r="B298" i="18" s="1"/>
  <c r="A299" i="18"/>
  <c r="B299" i="18" s="1"/>
  <c r="A300" i="18"/>
  <c r="B300" i="18" s="1"/>
  <c r="A301" i="18"/>
  <c r="B301" i="18" s="1"/>
  <c r="A302" i="18"/>
  <c r="B302" i="18" s="1"/>
  <c r="A303" i="18"/>
  <c r="B303" i="18" s="1"/>
  <c r="A304" i="18"/>
  <c r="B304" i="18" s="1"/>
  <c r="A305" i="18"/>
  <c r="B305" i="18" s="1"/>
  <c r="A306" i="18"/>
  <c r="B306" i="18" s="1"/>
  <c r="A307" i="18"/>
  <c r="B307" i="18" s="1"/>
  <c r="A308" i="18"/>
  <c r="B308" i="18" s="1"/>
  <c r="A309" i="18"/>
  <c r="B309" i="18" s="1"/>
  <c r="A310" i="18"/>
  <c r="B310" i="18" s="1"/>
  <c r="A311" i="18"/>
  <c r="B311" i="18" s="1"/>
  <c r="A312" i="18"/>
  <c r="B312" i="18" s="1"/>
  <c r="A313" i="18"/>
  <c r="B313" i="18" s="1"/>
  <c r="A314" i="18"/>
  <c r="B314" i="18" s="1"/>
  <c r="A315" i="18"/>
  <c r="B315" i="18" s="1"/>
  <c r="A316" i="18"/>
  <c r="B316" i="18" s="1"/>
  <c r="A317" i="18"/>
  <c r="B317" i="18" s="1"/>
  <c r="A318" i="18"/>
  <c r="B318" i="18" s="1"/>
  <c r="A319" i="18"/>
  <c r="B319" i="18" s="1"/>
  <c r="A320" i="18"/>
  <c r="B320" i="18" s="1"/>
  <c r="A321" i="18"/>
  <c r="B321" i="18" s="1"/>
  <c r="A322" i="18"/>
  <c r="B322" i="18" s="1"/>
  <c r="A323" i="18"/>
  <c r="B323" i="18" s="1"/>
  <c r="A324" i="18"/>
  <c r="B324" i="18" s="1"/>
  <c r="A325" i="18"/>
  <c r="B325" i="18" s="1"/>
  <c r="A326" i="18"/>
  <c r="B326" i="18" s="1"/>
  <c r="A327" i="18"/>
  <c r="B327" i="18" s="1"/>
  <c r="A328" i="18"/>
  <c r="B328" i="18" s="1"/>
  <c r="A329" i="18"/>
  <c r="B329" i="18" s="1"/>
  <c r="A330" i="18"/>
  <c r="B330" i="18" s="1"/>
  <c r="A331" i="18"/>
  <c r="B331" i="18" s="1"/>
  <c r="A332" i="18"/>
  <c r="B332" i="18" s="1"/>
  <c r="A333" i="18"/>
  <c r="B333" i="18" s="1"/>
  <c r="A334" i="18"/>
  <c r="B334" i="18" s="1"/>
  <c r="A335" i="18"/>
  <c r="B335" i="18" s="1"/>
  <c r="A336" i="18"/>
  <c r="B336" i="18" s="1"/>
  <c r="A337" i="18"/>
  <c r="B337" i="18" s="1"/>
  <c r="A338" i="18"/>
  <c r="B338" i="18" s="1"/>
  <c r="A339" i="18"/>
  <c r="B339" i="18" s="1"/>
  <c r="A340" i="18"/>
  <c r="B340" i="18" s="1"/>
  <c r="A341" i="18"/>
  <c r="B341" i="18" s="1"/>
  <c r="A342" i="18"/>
  <c r="B342" i="18" s="1"/>
  <c r="A343" i="18"/>
  <c r="B343" i="18" s="1"/>
  <c r="A344" i="18"/>
  <c r="B344" i="18" s="1"/>
  <c r="A345" i="18"/>
  <c r="B345" i="18" s="1"/>
  <c r="A346" i="18"/>
  <c r="B346" i="18" s="1"/>
  <c r="A347" i="18"/>
  <c r="B347" i="18" s="1"/>
  <c r="A348" i="18"/>
  <c r="B348" i="18" s="1"/>
  <c r="A349" i="18"/>
  <c r="B349" i="18" s="1"/>
  <c r="A350" i="18"/>
  <c r="B350" i="18" s="1"/>
  <c r="A351" i="18"/>
  <c r="B351" i="18" s="1"/>
  <c r="A352" i="18"/>
  <c r="B352" i="18" s="1"/>
  <c r="A353" i="18"/>
  <c r="B353" i="18" s="1"/>
  <c r="A354" i="18"/>
  <c r="B354" i="18" s="1"/>
  <c r="A355" i="18"/>
  <c r="B355" i="18" s="1"/>
  <c r="A356" i="18"/>
  <c r="B356" i="18" s="1"/>
  <c r="A357" i="18"/>
  <c r="B357" i="18" s="1"/>
  <c r="A358" i="18"/>
  <c r="B358" i="18" s="1"/>
  <c r="A359" i="18"/>
  <c r="B359" i="18" s="1"/>
  <c r="A360" i="18"/>
  <c r="B360" i="18" s="1"/>
  <c r="A361" i="18"/>
  <c r="B361" i="18" s="1"/>
  <c r="A362" i="18"/>
  <c r="B362" i="18" s="1"/>
  <c r="A363" i="18"/>
  <c r="B363" i="18" s="1"/>
  <c r="A364" i="18"/>
  <c r="B364" i="18" s="1"/>
  <c r="A365" i="18"/>
  <c r="B365" i="18" s="1"/>
  <c r="A366" i="18"/>
  <c r="B366" i="18" s="1"/>
  <c r="A367" i="18"/>
  <c r="B367" i="18" s="1"/>
  <c r="A368" i="18"/>
  <c r="B368" i="18" s="1"/>
  <c r="A369" i="18"/>
  <c r="B369" i="18" s="1"/>
  <c r="A370" i="18"/>
  <c r="B370" i="18" s="1"/>
  <c r="A371" i="18"/>
  <c r="B371" i="18" s="1"/>
  <c r="A372" i="18"/>
  <c r="B372" i="18" s="1"/>
  <c r="A373" i="18"/>
  <c r="B373" i="18" s="1"/>
  <c r="A374" i="18"/>
  <c r="B374" i="18" s="1"/>
  <c r="A375" i="18"/>
  <c r="B375" i="18" s="1"/>
  <c r="A376" i="18"/>
  <c r="B376" i="18" s="1"/>
  <c r="A377" i="18"/>
  <c r="B377" i="18" s="1"/>
  <c r="A378" i="18"/>
  <c r="B378" i="18" s="1"/>
  <c r="A379" i="18"/>
  <c r="B379" i="18" s="1"/>
  <c r="A380" i="18"/>
  <c r="B380" i="18" s="1"/>
  <c r="A381" i="18"/>
  <c r="B381" i="18" s="1"/>
  <c r="A382" i="18"/>
  <c r="B382" i="18" s="1"/>
  <c r="A383" i="18"/>
  <c r="B383" i="18" s="1"/>
  <c r="A384" i="18"/>
  <c r="B384" i="18" s="1"/>
  <c r="A385" i="18"/>
  <c r="B385" i="18" s="1"/>
  <c r="A386" i="18"/>
  <c r="B386" i="18" s="1"/>
  <c r="A387" i="18"/>
  <c r="B387" i="18" s="1"/>
  <c r="A388" i="18"/>
  <c r="B388" i="18" s="1"/>
  <c r="A389" i="18"/>
  <c r="B389" i="18" s="1"/>
  <c r="A390" i="18"/>
  <c r="B390" i="18" s="1"/>
  <c r="A391" i="18"/>
  <c r="B391" i="18" s="1"/>
  <c r="A392" i="18"/>
  <c r="B392" i="18" s="1"/>
  <c r="A393" i="18"/>
  <c r="B393" i="18" s="1"/>
  <c r="A394" i="18"/>
  <c r="B394" i="18" s="1"/>
  <c r="A395" i="18"/>
  <c r="B395" i="18" s="1"/>
  <c r="A396" i="18"/>
  <c r="B396" i="18" s="1"/>
  <c r="A397" i="18"/>
  <c r="B397" i="18" s="1"/>
  <c r="A398" i="18"/>
  <c r="B398" i="18" s="1"/>
  <c r="A399" i="18"/>
  <c r="B399" i="18" s="1"/>
  <c r="A400" i="18"/>
  <c r="B400" i="18" s="1"/>
  <c r="A401" i="18"/>
  <c r="B401" i="18" s="1"/>
  <c r="A402" i="18"/>
  <c r="B402" i="18" s="1"/>
  <c r="A403" i="18"/>
  <c r="B403" i="18" s="1"/>
  <c r="A404" i="18"/>
  <c r="B404" i="18" s="1"/>
  <c r="A405" i="18"/>
  <c r="B405" i="18" s="1"/>
  <c r="A406" i="18"/>
  <c r="B406" i="18" s="1"/>
  <c r="A407" i="18"/>
  <c r="B407" i="18" s="1"/>
  <c r="A408" i="18"/>
  <c r="B408" i="18" s="1"/>
  <c r="A409" i="18"/>
  <c r="B409" i="18" s="1"/>
  <c r="A410" i="18"/>
  <c r="B410" i="18" s="1"/>
  <c r="A411" i="18"/>
  <c r="B411" i="18" s="1"/>
  <c r="A412" i="18"/>
  <c r="B412" i="18" s="1"/>
  <c r="A413" i="18"/>
  <c r="B413" i="18" s="1"/>
  <c r="A414" i="18"/>
  <c r="B414" i="18" s="1"/>
  <c r="A415" i="18"/>
  <c r="B415" i="18" s="1"/>
  <c r="A416" i="18"/>
  <c r="B416" i="18" s="1"/>
  <c r="A417" i="18"/>
  <c r="B417" i="18" s="1"/>
  <c r="A418" i="18"/>
  <c r="B418" i="18" s="1"/>
  <c r="A419" i="18"/>
  <c r="B419" i="18" s="1"/>
  <c r="A420" i="18"/>
  <c r="B420" i="18" s="1"/>
  <c r="A421" i="18"/>
  <c r="B421" i="18" s="1"/>
  <c r="A422" i="18"/>
  <c r="B422" i="18" s="1"/>
  <c r="A423" i="18"/>
  <c r="B423" i="18" s="1"/>
  <c r="A424" i="18"/>
  <c r="B424" i="18" s="1"/>
  <c r="A425" i="18"/>
  <c r="B425" i="18" s="1"/>
  <c r="A426" i="18"/>
  <c r="B426" i="18" s="1"/>
  <c r="A427" i="18"/>
  <c r="B427" i="18" s="1"/>
  <c r="A428" i="18"/>
  <c r="B428" i="18" s="1"/>
  <c r="A429" i="18"/>
  <c r="B429" i="18" s="1"/>
  <c r="A430" i="18"/>
  <c r="B430" i="18" s="1"/>
  <c r="A431" i="18"/>
  <c r="B431" i="18" s="1"/>
  <c r="A432" i="18"/>
  <c r="B432" i="18" s="1"/>
  <c r="A433" i="18"/>
  <c r="B433" i="18" s="1"/>
  <c r="A434" i="18"/>
  <c r="B434" i="18" s="1"/>
  <c r="A435" i="18"/>
  <c r="B435" i="18" s="1"/>
  <c r="A436" i="18"/>
  <c r="B436" i="18" s="1"/>
  <c r="A437" i="18"/>
  <c r="B437" i="18" s="1"/>
  <c r="A438" i="18"/>
  <c r="B438" i="18" s="1"/>
  <c r="A439" i="18"/>
  <c r="B439" i="18" s="1"/>
  <c r="A440" i="18"/>
  <c r="B440" i="18" s="1"/>
  <c r="A441" i="18"/>
  <c r="B441" i="18" s="1"/>
  <c r="A442" i="18"/>
  <c r="B442" i="18" s="1"/>
  <c r="A443" i="18"/>
  <c r="B443" i="18" s="1"/>
  <c r="A444" i="18"/>
  <c r="B444" i="18" s="1"/>
  <c r="A445" i="18"/>
  <c r="B445" i="18" s="1"/>
  <c r="A446" i="18"/>
  <c r="B446" i="18" s="1"/>
  <c r="A447" i="18"/>
  <c r="B447" i="18" s="1"/>
  <c r="A448" i="18"/>
  <c r="B448" i="18" s="1"/>
  <c r="A449" i="18"/>
  <c r="B449" i="18" s="1"/>
  <c r="A450" i="18"/>
  <c r="B450" i="18" s="1"/>
  <c r="A451" i="18"/>
  <c r="B451" i="18" s="1"/>
  <c r="A452" i="18"/>
  <c r="B452" i="18" s="1"/>
  <c r="A453" i="18"/>
  <c r="B453" i="18" s="1"/>
  <c r="A454" i="18"/>
  <c r="B454" i="18" s="1"/>
  <c r="A455" i="18"/>
  <c r="B455" i="18" s="1"/>
  <c r="A456" i="18"/>
  <c r="B456" i="18" s="1"/>
  <c r="A457" i="18"/>
  <c r="B457" i="18" s="1"/>
  <c r="A458" i="18"/>
  <c r="B458" i="18" s="1"/>
  <c r="A459" i="18"/>
  <c r="B459" i="18" s="1"/>
  <c r="A460" i="18"/>
  <c r="B460" i="18" s="1"/>
  <c r="A461" i="18"/>
  <c r="B461" i="18" s="1"/>
  <c r="A462" i="18"/>
  <c r="B462" i="18" s="1"/>
  <c r="A463" i="18"/>
  <c r="B463" i="18" s="1"/>
  <c r="A464" i="18"/>
  <c r="B464" i="18" s="1"/>
  <c r="A465" i="18"/>
  <c r="B465" i="18" s="1"/>
  <c r="A466" i="18"/>
  <c r="B466" i="18" s="1"/>
  <c r="A467" i="18"/>
  <c r="B467" i="18" s="1"/>
  <c r="A468" i="18"/>
  <c r="B468" i="18" s="1"/>
  <c r="A469" i="18"/>
  <c r="B469" i="18" s="1"/>
  <c r="A470" i="18"/>
  <c r="B470" i="18" s="1"/>
  <c r="A471" i="18"/>
  <c r="B471" i="18" s="1"/>
  <c r="A472" i="18"/>
  <c r="B472" i="18" s="1"/>
  <c r="A473" i="18"/>
  <c r="B473" i="18" s="1"/>
  <c r="A474" i="18"/>
  <c r="B474" i="18" s="1"/>
  <c r="A475" i="18"/>
  <c r="B475" i="18" s="1"/>
  <c r="A476" i="18"/>
  <c r="B476" i="18" s="1"/>
  <c r="A477" i="18"/>
  <c r="B477" i="18" s="1"/>
  <c r="A478" i="18"/>
  <c r="B478" i="18" s="1"/>
  <c r="A479" i="18"/>
  <c r="B479" i="18" s="1"/>
  <c r="A480" i="18"/>
  <c r="B480" i="18" s="1"/>
  <c r="A481" i="18"/>
  <c r="B481" i="18" s="1"/>
  <c r="A482" i="18"/>
  <c r="B482" i="18" s="1"/>
  <c r="A483" i="18"/>
  <c r="B483" i="18" s="1"/>
  <c r="A484" i="18"/>
  <c r="B484" i="18" s="1"/>
  <c r="A485" i="18"/>
  <c r="B485" i="18" s="1"/>
  <c r="A486" i="18"/>
  <c r="B486" i="18" s="1"/>
  <c r="A487" i="18"/>
  <c r="B487" i="18" s="1"/>
  <c r="A488" i="18"/>
  <c r="B488" i="18" s="1"/>
  <c r="A489" i="18"/>
  <c r="B489" i="18" s="1"/>
  <c r="A490" i="18"/>
  <c r="B490" i="18" s="1"/>
  <c r="A491" i="18"/>
  <c r="B491" i="18" s="1"/>
  <c r="A492" i="18"/>
  <c r="B492" i="18" s="1"/>
  <c r="A493" i="18"/>
  <c r="B493" i="18" s="1"/>
  <c r="A494" i="18"/>
  <c r="B494" i="18" s="1"/>
  <c r="A495" i="18"/>
  <c r="B495" i="18" s="1"/>
  <c r="A496" i="18"/>
  <c r="B496" i="18" s="1"/>
  <c r="A497" i="18"/>
  <c r="B497" i="18" s="1"/>
  <c r="A498" i="18"/>
  <c r="B498" i="18" s="1"/>
  <c r="A499" i="18"/>
  <c r="B499" i="18" s="1"/>
  <c r="A500" i="18"/>
  <c r="B500" i="18" s="1"/>
  <c r="A501" i="18"/>
  <c r="B501" i="18" s="1"/>
  <c r="A502" i="18"/>
  <c r="B502" i="18" s="1"/>
  <c r="A503" i="18"/>
  <c r="B503" i="18" s="1"/>
  <c r="A504" i="18"/>
  <c r="B504" i="18" s="1"/>
  <c r="A505" i="18"/>
  <c r="B505" i="18" s="1"/>
  <c r="A506" i="18"/>
  <c r="B506" i="18" s="1"/>
  <c r="A507" i="18"/>
  <c r="B507" i="18" s="1"/>
  <c r="A508" i="18"/>
  <c r="B508" i="18" s="1"/>
  <c r="A509" i="18"/>
  <c r="B509" i="18" s="1"/>
  <c r="A510" i="18"/>
  <c r="B510" i="18" s="1"/>
  <c r="A511" i="18"/>
  <c r="B511" i="18" s="1"/>
  <c r="A512" i="18"/>
  <c r="B512" i="18" s="1"/>
  <c r="A513" i="18"/>
  <c r="B513" i="18" s="1"/>
  <c r="A514" i="18"/>
  <c r="B514" i="18" s="1"/>
  <c r="A515" i="18"/>
  <c r="B515" i="18" s="1"/>
  <c r="A516" i="18"/>
  <c r="B516" i="18" s="1"/>
  <c r="A517" i="18"/>
  <c r="B517" i="18" s="1"/>
  <c r="A518" i="18"/>
  <c r="B518" i="18" s="1"/>
  <c r="A519" i="18"/>
  <c r="B519" i="18" s="1"/>
  <c r="A520" i="18"/>
  <c r="B520" i="18" s="1"/>
  <c r="A521" i="18"/>
  <c r="B521" i="18" s="1"/>
  <c r="A522" i="18"/>
  <c r="B522" i="18" s="1"/>
  <c r="A523" i="18"/>
  <c r="B523" i="18" s="1"/>
  <c r="A524" i="18"/>
  <c r="B524" i="18" s="1"/>
  <c r="A525" i="18"/>
  <c r="B525" i="18" s="1"/>
  <c r="A526" i="18"/>
  <c r="B526" i="18" s="1"/>
  <c r="A527" i="18"/>
  <c r="B527" i="18" s="1"/>
  <c r="A528" i="18"/>
  <c r="B528" i="18" s="1"/>
  <c r="A529" i="18"/>
  <c r="B529" i="18" s="1"/>
  <c r="A530" i="18"/>
  <c r="B530" i="18" s="1"/>
  <c r="A531" i="18"/>
  <c r="B531" i="18" s="1"/>
  <c r="A532" i="18"/>
  <c r="B532" i="18" s="1"/>
  <c r="A533" i="18"/>
  <c r="B533" i="18" s="1"/>
  <c r="A534" i="18"/>
  <c r="B534" i="18" s="1"/>
  <c r="A535" i="18"/>
  <c r="B535" i="18" s="1"/>
  <c r="A536" i="18"/>
  <c r="B536" i="18" s="1"/>
  <c r="A537" i="18"/>
  <c r="B537" i="18" s="1"/>
  <c r="A538" i="18"/>
  <c r="B538" i="18" s="1"/>
  <c r="A539" i="18"/>
  <c r="B539" i="18" s="1"/>
  <c r="A540" i="18"/>
  <c r="B540" i="18" s="1"/>
  <c r="A541" i="18"/>
  <c r="B541" i="18" s="1"/>
  <c r="A542" i="18"/>
  <c r="B542" i="18" s="1"/>
  <c r="A543" i="18"/>
  <c r="B543" i="18" s="1"/>
  <c r="A544" i="18"/>
  <c r="B544" i="18" s="1"/>
  <c r="A545" i="18"/>
  <c r="B545" i="18" s="1"/>
  <c r="A546" i="18"/>
  <c r="B546" i="18" s="1"/>
  <c r="A547" i="18"/>
  <c r="B547" i="18" s="1"/>
  <c r="A548" i="18"/>
  <c r="B548" i="18" s="1"/>
  <c r="A549" i="18"/>
  <c r="B549" i="18" s="1"/>
  <c r="A550" i="18"/>
  <c r="B550" i="18" s="1"/>
  <c r="A551" i="18"/>
  <c r="B551" i="18" s="1"/>
  <c r="A552" i="18"/>
  <c r="B552" i="18" s="1"/>
  <c r="A553" i="18"/>
  <c r="B553" i="18" s="1"/>
  <c r="A554" i="18"/>
  <c r="B554" i="18" s="1"/>
  <c r="A555" i="18"/>
  <c r="B555" i="18" s="1"/>
  <c r="A556" i="18"/>
  <c r="B556" i="18" s="1"/>
  <c r="A557" i="18"/>
  <c r="B557" i="18" s="1"/>
  <c r="A558" i="18"/>
  <c r="B558" i="18" s="1"/>
  <c r="A559" i="18"/>
  <c r="B559" i="18" s="1"/>
  <c r="A560" i="18"/>
  <c r="B560" i="18" s="1"/>
  <c r="A561" i="18"/>
  <c r="B561" i="18" s="1"/>
  <c r="A562" i="18"/>
  <c r="B562" i="18" s="1"/>
  <c r="A563" i="18"/>
  <c r="B563" i="18" s="1"/>
  <c r="A564" i="18"/>
  <c r="B564" i="18" s="1"/>
  <c r="A565" i="18"/>
  <c r="B565" i="18" s="1"/>
  <c r="A566" i="18"/>
  <c r="B566" i="18" s="1"/>
  <c r="A567" i="18"/>
  <c r="B567" i="18" s="1"/>
  <c r="A568" i="18"/>
  <c r="B568" i="18" s="1"/>
  <c r="A569" i="18"/>
  <c r="B569" i="18" s="1"/>
  <c r="A570" i="18"/>
  <c r="B570" i="18" s="1"/>
  <c r="A571" i="18"/>
  <c r="B571" i="18" s="1"/>
  <c r="A572" i="18"/>
  <c r="B572" i="18" s="1"/>
  <c r="A573" i="18"/>
  <c r="B573" i="18" s="1"/>
  <c r="A574" i="18"/>
  <c r="B574" i="18" s="1"/>
  <c r="A575" i="18"/>
  <c r="B575" i="18" s="1"/>
  <c r="A576" i="18"/>
  <c r="B576" i="18" s="1"/>
  <c r="A577" i="18"/>
  <c r="B577" i="18" s="1"/>
  <c r="A578" i="18"/>
  <c r="B578" i="18" s="1"/>
  <c r="A579" i="18"/>
  <c r="B579" i="18" s="1"/>
  <c r="A580" i="18"/>
  <c r="B580" i="18" s="1"/>
  <c r="A581" i="18"/>
  <c r="B581" i="18" s="1"/>
  <c r="A582" i="18"/>
  <c r="B582" i="18" s="1"/>
  <c r="A583" i="18"/>
  <c r="B583" i="18" s="1"/>
  <c r="A584" i="18"/>
  <c r="B584" i="18" s="1"/>
  <c r="A585" i="18"/>
  <c r="B585" i="18" s="1"/>
  <c r="A586" i="18"/>
  <c r="B586" i="18" s="1"/>
  <c r="A587" i="18"/>
  <c r="B587" i="18" s="1"/>
  <c r="A588" i="18"/>
  <c r="B588" i="18" s="1"/>
  <c r="A589" i="18"/>
  <c r="B589" i="18" s="1"/>
  <c r="A590" i="18"/>
  <c r="B590" i="18" s="1"/>
  <c r="A591" i="18"/>
  <c r="B591" i="18" s="1"/>
  <c r="A592" i="18"/>
  <c r="B592" i="18" s="1"/>
  <c r="A593" i="18"/>
  <c r="B593" i="18" s="1"/>
  <c r="A594" i="18"/>
  <c r="B594" i="18" s="1"/>
  <c r="A595" i="18"/>
  <c r="B595" i="18" s="1"/>
  <c r="A596" i="18"/>
  <c r="B596" i="18" s="1"/>
  <c r="A597" i="18"/>
  <c r="B597" i="18" s="1"/>
  <c r="A598" i="18"/>
  <c r="B598" i="18" s="1"/>
  <c r="A599" i="18"/>
  <c r="B599" i="18" s="1"/>
  <c r="A600" i="18"/>
  <c r="B600" i="18" s="1"/>
  <c r="A601" i="18"/>
  <c r="B601" i="18" s="1"/>
  <c r="A602" i="18"/>
  <c r="B602" i="18" s="1"/>
  <c r="A603" i="18"/>
  <c r="B603" i="18" s="1"/>
  <c r="A604" i="18"/>
  <c r="B604" i="18" s="1"/>
  <c r="A605" i="18"/>
  <c r="B605" i="18" s="1"/>
  <c r="A606" i="18"/>
  <c r="B606" i="18" s="1"/>
  <c r="A607" i="18"/>
  <c r="B607" i="18" s="1"/>
  <c r="A608" i="18"/>
  <c r="B608" i="18" s="1"/>
  <c r="A609" i="18"/>
  <c r="B609" i="18" s="1"/>
  <c r="A610" i="18"/>
  <c r="B610" i="18" s="1"/>
  <c r="A611" i="18"/>
  <c r="B611" i="18" s="1"/>
  <c r="A612" i="18"/>
  <c r="B612" i="18" s="1"/>
  <c r="A613" i="18"/>
  <c r="B613" i="18" s="1"/>
  <c r="A614" i="18"/>
  <c r="B614" i="18" s="1"/>
  <c r="A615" i="18"/>
  <c r="B615" i="18" s="1"/>
  <c r="A616" i="18"/>
  <c r="B616" i="18" s="1"/>
  <c r="A617" i="18"/>
  <c r="B617" i="18" s="1"/>
  <c r="A618" i="18"/>
  <c r="B618" i="18" s="1"/>
  <c r="A619" i="18"/>
  <c r="B619" i="18" s="1"/>
  <c r="A620" i="18"/>
  <c r="B620" i="18" s="1"/>
  <c r="A621" i="18"/>
  <c r="B621" i="18" s="1"/>
  <c r="A622" i="18"/>
  <c r="B622" i="18" s="1"/>
  <c r="A623" i="18"/>
  <c r="B623" i="18" s="1"/>
  <c r="A624" i="18"/>
  <c r="B624" i="18" s="1"/>
  <c r="A625" i="18"/>
  <c r="B625" i="18" s="1"/>
  <c r="A626" i="18"/>
  <c r="B626" i="18" s="1"/>
  <c r="A627" i="18"/>
  <c r="B627" i="18" s="1"/>
  <c r="A628" i="18"/>
  <c r="B628" i="18" s="1"/>
  <c r="A629" i="18"/>
  <c r="B629" i="18" s="1"/>
  <c r="A630" i="18"/>
  <c r="B630" i="18" s="1"/>
  <c r="A631" i="18"/>
  <c r="B631" i="18" s="1"/>
  <c r="A632" i="18"/>
  <c r="B632" i="18" s="1"/>
  <c r="A633" i="18"/>
  <c r="B633" i="18" s="1"/>
  <c r="A634" i="18"/>
  <c r="B634" i="18" s="1"/>
  <c r="A635" i="18"/>
  <c r="B635" i="18" s="1"/>
  <c r="A636" i="18"/>
  <c r="B636" i="18" s="1"/>
  <c r="A637" i="18"/>
  <c r="B637" i="18" s="1"/>
  <c r="A638" i="18"/>
  <c r="B638" i="18" s="1"/>
  <c r="A639" i="18"/>
  <c r="B639" i="18" s="1"/>
  <c r="A640" i="18"/>
  <c r="B640" i="18" s="1"/>
  <c r="A641" i="18"/>
  <c r="B641" i="18" s="1"/>
  <c r="A642" i="18"/>
  <c r="B642" i="18" s="1"/>
  <c r="A643" i="18"/>
  <c r="B643" i="18" s="1"/>
  <c r="A644" i="18"/>
  <c r="B644" i="18" s="1"/>
  <c r="A645" i="18"/>
  <c r="B645" i="18" s="1"/>
  <c r="A646" i="18"/>
  <c r="B646" i="18" s="1"/>
  <c r="A647" i="18"/>
  <c r="B647" i="18" s="1"/>
  <c r="A648" i="18"/>
  <c r="B648" i="18" s="1"/>
  <c r="A649" i="18"/>
  <c r="B649" i="18" s="1"/>
  <c r="A650" i="18"/>
  <c r="B650" i="18" s="1"/>
  <c r="A651" i="18"/>
  <c r="B651" i="18" s="1"/>
  <c r="A652" i="18"/>
  <c r="B652" i="18" s="1"/>
  <c r="A653" i="18"/>
  <c r="B653" i="18" s="1"/>
  <c r="A654" i="18"/>
  <c r="B654" i="18" s="1"/>
  <c r="A655" i="18"/>
  <c r="B655" i="18" s="1"/>
  <c r="A656" i="18"/>
  <c r="B656" i="18" s="1"/>
  <c r="A657" i="18"/>
  <c r="B657" i="18" s="1"/>
  <c r="A658" i="18"/>
  <c r="B658" i="18" s="1"/>
  <c r="A659" i="18"/>
  <c r="B659" i="18" s="1"/>
  <c r="A660" i="18"/>
  <c r="B660" i="18" s="1"/>
  <c r="A661" i="18"/>
  <c r="B661" i="18" s="1"/>
  <c r="A662" i="18"/>
  <c r="B662" i="18" s="1"/>
  <c r="A663" i="18"/>
  <c r="B663" i="18" s="1"/>
  <c r="A664" i="18"/>
  <c r="B664" i="18" s="1"/>
  <c r="A665" i="18"/>
  <c r="B665" i="18" s="1"/>
  <c r="A666" i="18"/>
  <c r="B666" i="18" s="1"/>
  <c r="A667" i="18"/>
  <c r="B667" i="18" s="1"/>
  <c r="A668" i="18"/>
  <c r="B668" i="18" s="1"/>
  <c r="A669" i="18"/>
  <c r="B669" i="18" s="1"/>
  <c r="A670" i="18"/>
  <c r="B670" i="18" s="1"/>
  <c r="A671" i="18"/>
  <c r="B671" i="18" s="1"/>
  <c r="A672" i="18"/>
  <c r="B672" i="18" s="1"/>
  <c r="A673" i="18"/>
  <c r="B673" i="18" s="1"/>
  <c r="A674" i="18"/>
  <c r="B674" i="18" s="1"/>
  <c r="A675" i="18"/>
  <c r="B675" i="18" s="1"/>
  <c r="A676" i="18"/>
  <c r="B676" i="18" s="1"/>
  <c r="A677" i="18"/>
  <c r="B677" i="18" s="1"/>
  <c r="A678" i="18"/>
  <c r="B678" i="18" s="1"/>
  <c r="A679" i="18"/>
  <c r="B679" i="18" s="1"/>
  <c r="A680" i="18"/>
  <c r="B680" i="18" s="1"/>
  <c r="A681" i="18"/>
  <c r="B681" i="18" s="1"/>
  <c r="A682" i="18"/>
  <c r="B682" i="18" s="1"/>
  <c r="A683" i="18"/>
  <c r="B683" i="18" s="1"/>
  <c r="A684" i="18"/>
  <c r="B684" i="18" s="1"/>
  <c r="A685" i="18"/>
  <c r="B685" i="18" s="1"/>
  <c r="A686" i="18"/>
  <c r="B686" i="18" s="1"/>
  <c r="A687" i="18"/>
  <c r="B687" i="18" s="1"/>
  <c r="A688" i="18"/>
  <c r="B688" i="18" s="1"/>
  <c r="A689" i="18"/>
  <c r="B689" i="18" s="1"/>
  <c r="A690" i="18"/>
  <c r="B690" i="18" s="1"/>
  <c r="A691" i="18"/>
  <c r="B691" i="18" s="1"/>
  <c r="A692" i="18"/>
  <c r="B692" i="18" s="1"/>
  <c r="A693" i="18"/>
  <c r="B693" i="18" s="1"/>
  <c r="A694" i="18"/>
  <c r="B694" i="18" s="1"/>
  <c r="A695" i="18"/>
  <c r="B695" i="18" s="1"/>
  <c r="A696" i="18"/>
  <c r="B696" i="18" s="1"/>
  <c r="A697" i="18"/>
  <c r="B697" i="18" s="1"/>
  <c r="A698" i="18"/>
  <c r="B698" i="18" s="1"/>
  <c r="A699" i="18"/>
  <c r="B699" i="18" s="1"/>
  <c r="A700" i="18"/>
  <c r="B700" i="18" s="1"/>
  <c r="A701" i="18"/>
  <c r="B701" i="18" s="1"/>
  <c r="A702" i="18"/>
  <c r="B702" i="18" s="1"/>
  <c r="A703" i="18"/>
  <c r="B703" i="18" s="1"/>
  <c r="A704" i="18"/>
  <c r="B704" i="18" s="1"/>
  <c r="A705" i="18"/>
  <c r="B705" i="18" s="1"/>
  <c r="A706" i="18"/>
  <c r="B706" i="18" s="1"/>
  <c r="A707" i="18"/>
  <c r="B707" i="18" s="1"/>
  <c r="A708" i="18"/>
  <c r="B708" i="18" s="1"/>
  <c r="A709" i="18"/>
  <c r="B709" i="18" s="1"/>
  <c r="A710" i="18"/>
  <c r="B710" i="18" s="1"/>
  <c r="A711" i="18"/>
  <c r="B711" i="18" s="1"/>
  <c r="A712" i="18"/>
  <c r="B712" i="18" s="1"/>
  <c r="A713" i="18"/>
  <c r="B713" i="18" s="1"/>
  <c r="A714" i="18"/>
  <c r="B714" i="18" s="1"/>
  <c r="A715" i="18"/>
  <c r="B715" i="18" s="1"/>
  <c r="A716" i="18"/>
  <c r="B716" i="18" s="1"/>
  <c r="A717" i="18"/>
  <c r="B717" i="18" s="1"/>
  <c r="A718" i="18"/>
  <c r="B718" i="18" s="1"/>
  <c r="A719" i="18"/>
  <c r="B719" i="18" s="1"/>
  <c r="A720" i="18"/>
  <c r="B720" i="18" s="1"/>
  <c r="A721" i="18"/>
  <c r="B721" i="18" s="1"/>
  <c r="A722" i="18"/>
  <c r="B722" i="18" s="1"/>
  <c r="A723" i="18"/>
  <c r="B723" i="18" s="1"/>
  <c r="A724" i="18"/>
  <c r="B724" i="18" s="1"/>
  <c r="A725" i="18"/>
  <c r="B725" i="18" s="1"/>
  <c r="A726" i="18"/>
  <c r="B726" i="18" s="1"/>
  <c r="A727" i="18"/>
  <c r="B727" i="18" s="1"/>
  <c r="A728" i="18"/>
  <c r="B728" i="18" s="1"/>
  <c r="A729" i="18"/>
  <c r="B729" i="18" s="1"/>
  <c r="A730" i="18"/>
  <c r="B730" i="18" s="1"/>
  <c r="A731" i="18"/>
  <c r="B731" i="18" s="1"/>
  <c r="A732" i="18"/>
  <c r="B732" i="18" s="1"/>
  <c r="A733" i="18"/>
  <c r="B733" i="18" s="1"/>
  <c r="A734" i="18"/>
  <c r="B734" i="18" s="1"/>
  <c r="A735" i="18"/>
  <c r="B735" i="18" s="1"/>
  <c r="A736" i="18"/>
  <c r="B736" i="18" s="1"/>
  <c r="A737" i="18"/>
  <c r="B737" i="18" s="1"/>
  <c r="A738" i="18"/>
  <c r="B738" i="18" s="1"/>
  <c r="A739" i="18"/>
  <c r="B739" i="18" s="1"/>
  <c r="A740" i="18"/>
  <c r="B740" i="18" s="1"/>
  <c r="A741" i="18"/>
  <c r="B741" i="18" s="1"/>
  <c r="A742" i="18"/>
  <c r="B742" i="18" s="1"/>
  <c r="A743" i="18"/>
  <c r="B743" i="18" s="1"/>
  <c r="A744" i="18"/>
  <c r="B744" i="18" s="1"/>
  <c r="A745" i="18"/>
  <c r="B745" i="18" s="1"/>
  <c r="A746" i="18"/>
  <c r="B746" i="18" s="1"/>
  <c r="A747" i="18"/>
  <c r="B747" i="18" s="1"/>
  <c r="A748" i="18"/>
  <c r="B748" i="18" s="1"/>
  <c r="A749" i="18"/>
  <c r="B749" i="18" s="1"/>
  <c r="A750" i="18"/>
  <c r="B750" i="18" s="1"/>
  <c r="A751" i="18"/>
  <c r="B751" i="18" s="1"/>
  <c r="A752" i="18"/>
  <c r="B752" i="18" s="1"/>
  <c r="A753" i="18"/>
  <c r="B753" i="18" s="1"/>
  <c r="A754" i="18"/>
  <c r="B754" i="18" s="1"/>
  <c r="A755" i="18"/>
  <c r="B755" i="18" s="1"/>
  <c r="A756" i="18"/>
  <c r="B756" i="18" s="1"/>
  <c r="A757" i="18"/>
  <c r="B757" i="18" s="1"/>
  <c r="A758" i="18"/>
  <c r="B758" i="18" s="1"/>
  <c r="A759" i="18"/>
  <c r="B759" i="18" s="1"/>
  <c r="A760" i="18"/>
  <c r="B760" i="18" s="1"/>
  <c r="A761" i="18"/>
  <c r="B761" i="18" s="1"/>
  <c r="A762" i="18"/>
  <c r="B762" i="18" s="1"/>
  <c r="A763" i="18"/>
  <c r="B763" i="18" s="1"/>
  <c r="A764" i="18"/>
  <c r="B764" i="18" s="1"/>
  <c r="A765" i="18"/>
  <c r="B765" i="18" s="1"/>
  <c r="A766" i="18"/>
  <c r="B766" i="18" s="1"/>
  <c r="A767" i="18"/>
  <c r="B767" i="18" s="1"/>
  <c r="A768" i="18"/>
  <c r="B768" i="18" s="1"/>
  <c r="A769" i="18"/>
  <c r="B769" i="18" s="1"/>
  <c r="A770" i="18"/>
  <c r="B770" i="18" s="1"/>
  <c r="A771" i="18"/>
  <c r="B771" i="18" s="1"/>
  <c r="A772" i="18"/>
  <c r="B772" i="18" s="1"/>
  <c r="A773" i="18"/>
  <c r="B773" i="18" s="1"/>
  <c r="A774" i="18"/>
  <c r="B774" i="18" s="1"/>
  <c r="A775" i="18"/>
  <c r="B775" i="18" s="1"/>
  <c r="A776" i="18"/>
  <c r="B776" i="18" s="1"/>
  <c r="A777" i="18"/>
  <c r="B777" i="18" s="1"/>
  <c r="A778" i="18"/>
  <c r="B778" i="18" s="1"/>
  <c r="A779" i="18"/>
  <c r="B779" i="18" s="1"/>
  <c r="A780" i="18"/>
  <c r="B780" i="18" s="1"/>
  <c r="A781" i="18"/>
  <c r="B781" i="18" s="1"/>
  <c r="A782" i="18"/>
  <c r="B782" i="18" s="1"/>
  <c r="A783" i="18"/>
  <c r="B783" i="18" s="1"/>
  <c r="A784" i="18"/>
  <c r="B784" i="18" s="1"/>
  <c r="A785" i="18"/>
  <c r="B785" i="18" s="1"/>
  <c r="A786" i="18"/>
  <c r="B786" i="18" s="1"/>
  <c r="A787" i="18"/>
  <c r="B787" i="18" s="1"/>
  <c r="A788" i="18"/>
  <c r="B788" i="18" s="1"/>
  <c r="A789" i="18"/>
  <c r="B789" i="18" s="1"/>
  <c r="A790" i="18"/>
  <c r="B790" i="18" s="1"/>
  <c r="A791" i="18"/>
  <c r="B791" i="18" s="1"/>
  <c r="A792" i="18"/>
  <c r="B792" i="18" s="1"/>
  <c r="A793" i="18"/>
  <c r="B793" i="18" s="1"/>
  <c r="A794" i="18"/>
  <c r="B794" i="18" s="1"/>
  <c r="A795" i="18"/>
  <c r="B795" i="18" s="1"/>
  <c r="A796" i="18"/>
  <c r="B796" i="18" s="1"/>
  <c r="A797" i="18"/>
  <c r="B797" i="18" s="1"/>
  <c r="A798" i="18"/>
  <c r="B798" i="18" s="1"/>
  <c r="A799" i="18"/>
  <c r="B799" i="18" s="1"/>
  <c r="A800" i="18"/>
  <c r="B800" i="18" s="1"/>
  <c r="A801" i="18"/>
  <c r="B801" i="18" s="1"/>
  <c r="A802" i="18"/>
  <c r="B802" i="18" s="1"/>
  <c r="A803" i="18"/>
  <c r="B803" i="18" s="1"/>
  <c r="A804" i="18"/>
  <c r="B804" i="18" s="1"/>
  <c r="A805" i="18"/>
  <c r="B805" i="18" s="1"/>
  <c r="A806" i="18"/>
  <c r="B806" i="18" s="1"/>
  <c r="A807" i="18"/>
  <c r="B807" i="18" s="1"/>
  <c r="A808" i="18"/>
  <c r="B808" i="18" s="1"/>
  <c r="A809" i="18"/>
  <c r="B809" i="18" s="1"/>
  <c r="A810" i="18"/>
  <c r="B810" i="18" s="1"/>
  <c r="A811" i="18"/>
  <c r="B811" i="18" s="1"/>
  <c r="A812" i="18"/>
  <c r="B812" i="18" s="1"/>
  <c r="A813" i="18"/>
  <c r="B813" i="18" s="1"/>
  <c r="A814" i="18"/>
  <c r="B814" i="18" s="1"/>
  <c r="A815" i="18"/>
  <c r="B815" i="18" s="1"/>
  <c r="A816" i="18"/>
  <c r="B816" i="18" s="1"/>
  <c r="A817" i="18"/>
  <c r="B817" i="18" s="1"/>
  <c r="A818" i="18"/>
  <c r="B818" i="18" s="1"/>
  <c r="A819" i="18"/>
  <c r="B819" i="18" s="1"/>
  <c r="A820" i="18"/>
  <c r="B820" i="18" s="1"/>
  <c r="A821" i="18"/>
  <c r="B821" i="18" s="1"/>
  <c r="A822" i="18"/>
  <c r="B822" i="18" s="1"/>
  <c r="A823" i="18"/>
  <c r="B823" i="18" s="1"/>
  <c r="A824" i="18"/>
  <c r="B824" i="18" s="1"/>
  <c r="A825" i="18"/>
  <c r="B825" i="18" s="1"/>
  <c r="A826" i="18"/>
  <c r="B826" i="18" s="1"/>
  <c r="A827" i="18"/>
  <c r="B827" i="18" s="1"/>
  <c r="A828" i="18"/>
  <c r="B828" i="18" s="1"/>
  <c r="A829" i="18"/>
  <c r="B829" i="18" s="1"/>
  <c r="A830" i="18"/>
  <c r="B830" i="18" s="1"/>
  <c r="A831" i="18"/>
  <c r="B831" i="18" s="1"/>
  <c r="A832" i="18"/>
  <c r="B832" i="18" s="1"/>
  <c r="A833" i="18"/>
  <c r="B833" i="18" s="1"/>
  <c r="A834" i="18"/>
  <c r="B834" i="18" s="1"/>
  <c r="A835" i="18"/>
  <c r="B835" i="18" s="1"/>
  <c r="A836" i="18"/>
  <c r="B836" i="18" s="1"/>
  <c r="A837" i="18"/>
  <c r="B837" i="18" s="1"/>
  <c r="A838" i="18"/>
  <c r="B838" i="18" s="1"/>
  <c r="A839" i="18"/>
  <c r="B839" i="18" s="1"/>
  <c r="A840" i="18"/>
  <c r="B840" i="18" s="1"/>
  <c r="A841" i="18"/>
  <c r="B841" i="18" s="1"/>
  <c r="A842" i="18"/>
  <c r="B842" i="18" s="1"/>
  <c r="A843" i="18"/>
  <c r="B843" i="18" s="1"/>
  <c r="A844" i="18"/>
  <c r="B844" i="18" s="1"/>
  <c r="A845" i="18"/>
  <c r="B845" i="18" s="1"/>
  <c r="A846" i="18"/>
  <c r="B846" i="18" s="1"/>
  <c r="A847" i="18"/>
  <c r="B847" i="18" s="1"/>
  <c r="A848" i="18"/>
  <c r="B848" i="18" s="1"/>
  <c r="A849" i="18"/>
  <c r="B849" i="18" s="1"/>
  <c r="A850" i="18"/>
  <c r="B850" i="18" s="1"/>
  <c r="A851" i="18"/>
  <c r="B851" i="18" s="1"/>
  <c r="A852" i="18"/>
  <c r="B852" i="18" s="1"/>
  <c r="A853" i="18"/>
  <c r="B853" i="18" s="1"/>
  <c r="A854" i="18"/>
  <c r="B854" i="18" s="1"/>
  <c r="A855" i="18"/>
  <c r="B855" i="18" s="1"/>
  <c r="A856" i="18"/>
  <c r="B856" i="18" s="1"/>
  <c r="A857" i="18"/>
  <c r="B857" i="18" s="1"/>
  <c r="A858" i="18"/>
  <c r="B858" i="18" s="1"/>
  <c r="A859" i="18"/>
  <c r="B859" i="18" s="1"/>
  <c r="A860" i="18"/>
  <c r="B860" i="18" s="1"/>
  <c r="A861" i="18"/>
  <c r="B861" i="18" s="1"/>
  <c r="A862" i="18"/>
  <c r="B862" i="18" s="1"/>
  <c r="A863" i="18"/>
  <c r="B863" i="18" s="1"/>
  <c r="A864" i="18"/>
  <c r="B864" i="18" s="1"/>
  <c r="A865" i="18"/>
  <c r="B865" i="18" s="1"/>
  <c r="A866" i="18"/>
  <c r="B866" i="18" s="1"/>
  <c r="A867" i="18"/>
  <c r="B867" i="18" s="1"/>
  <c r="A868" i="18"/>
  <c r="B868" i="18" s="1"/>
  <c r="A869" i="18"/>
  <c r="B869" i="18" s="1"/>
  <c r="A870" i="18"/>
  <c r="B870" i="18" s="1"/>
  <c r="A871" i="18"/>
  <c r="B871" i="18" s="1"/>
  <c r="A872" i="18"/>
  <c r="B872" i="18" s="1"/>
  <c r="A873" i="18"/>
  <c r="B873" i="18" s="1"/>
  <c r="A874" i="18"/>
  <c r="B874" i="18" s="1"/>
  <c r="A875" i="18"/>
  <c r="B875" i="18" s="1"/>
  <c r="A876" i="18"/>
  <c r="B876" i="18" s="1"/>
  <c r="A877" i="18"/>
  <c r="B877" i="18" s="1"/>
  <c r="A878" i="18"/>
  <c r="B878" i="18" s="1"/>
  <c r="A879" i="18"/>
  <c r="B879" i="18" s="1"/>
  <c r="A880" i="18"/>
  <c r="B880" i="18" s="1"/>
  <c r="A881" i="18"/>
  <c r="B881" i="18" s="1"/>
  <c r="A882" i="18"/>
  <c r="B882" i="18" s="1"/>
  <c r="A883" i="18"/>
  <c r="B883" i="18" s="1"/>
  <c r="A884" i="18"/>
  <c r="B884" i="18" s="1"/>
  <c r="A885" i="18"/>
  <c r="B885" i="18" s="1"/>
  <c r="A886" i="18"/>
  <c r="B886" i="18" s="1"/>
  <c r="A887" i="18"/>
  <c r="B887" i="18" s="1"/>
  <c r="A888" i="18"/>
  <c r="B888" i="18" s="1"/>
  <c r="A889" i="18"/>
  <c r="B889" i="18" s="1"/>
  <c r="A890" i="18"/>
  <c r="B890" i="18" s="1"/>
  <c r="A891" i="18"/>
  <c r="B891" i="18" s="1"/>
  <c r="A892" i="18"/>
  <c r="B892" i="18" s="1"/>
  <c r="A893" i="18"/>
  <c r="B893" i="18" s="1"/>
  <c r="A894" i="18"/>
  <c r="B894" i="18" s="1"/>
  <c r="A895" i="18"/>
  <c r="B895" i="18" s="1"/>
  <c r="A896" i="18"/>
  <c r="B896" i="18" s="1"/>
  <c r="A897" i="18"/>
  <c r="B897" i="18" s="1"/>
  <c r="A898" i="18"/>
  <c r="B898" i="18" s="1"/>
  <c r="A899" i="18"/>
  <c r="B899" i="18" s="1"/>
  <c r="A900" i="18"/>
  <c r="B900" i="18" s="1"/>
  <c r="A901" i="18"/>
  <c r="B901" i="18" s="1"/>
  <c r="A902" i="18"/>
  <c r="B902" i="18" s="1"/>
  <c r="A903" i="18"/>
  <c r="B903" i="18" s="1"/>
  <c r="A904" i="18"/>
  <c r="B904" i="18" s="1"/>
  <c r="A905" i="18"/>
  <c r="B905" i="18" s="1"/>
  <c r="A906" i="18"/>
  <c r="B906" i="18" s="1"/>
  <c r="A907" i="18"/>
  <c r="B907" i="18" s="1"/>
  <c r="A908" i="18"/>
  <c r="B908" i="18" s="1"/>
  <c r="A909" i="18"/>
  <c r="B909" i="18" s="1"/>
  <c r="A910" i="18"/>
  <c r="B910" i="18" s="1"/>
  <c r="A911" i="18"/>
  <c r="B911" i="18" s="1"/>
  <c r="A912" i="18"/>
  <c r="B912" i="18" s="1"/>
  <c r="A913" i="18"/>
  <c r="B913" i="18" s="1"/>
  <c r="A914" i="18"/>
  <c r="B914" i="18" s="1"/>
  <c r="A915" i="18"/>
  <c r="B915" i="18" s="1"/>
  <c r="A916" i="18"/>
  <c r="B916" i="18" s="1"/>
  <c r="A917" i="18"/>
  <c r="B917" i="18" s="1"/>
  <c r="A918" i="18"/>
  <c r="B918" i="18" s="1"/>
  <c r="A919" i="18"/>
  <c r="B919" i="18" s="1"/>
  <c r="A920" i="18"/>
  <c r="B920" i="18" s="1"/>
  <c r="A921" i="18"/>
  <c r="B921" i="18" s="1"/>
  <c r="A922" i="18"/>
  <c r="B922" i="18" s="1"/>
  <c r="A923" i="18"/>
  <c r="B923" i="18" s="1"/>
  <c r="A924" i="18"/>
  <c r="B924" i="18" s="1"/>
  <c r="A925" i="18"/>
  <c r="B925" i="18" s="1"/>
  <c r="A926" i="18"/>
  <c r="B926" i="18" s="1"/>
  <c r="A927" i="18"/>
  <c r="B927" i="18" s="1"/>
  <c r="A928" i="18"/>
  <c r="B928" i="18" s="1"/>
  <c r="A929" i="18"/>
  <c r="B929" i="18" s="1"/>
  <c r="A930" i="18"/>
  <c r="B930" i="18" s="1"/>
  <c r="A931" i="18"/>
  <c r="B931" i="18" s="1"/>
  <c r="A932" i="18"/>
  <c r="B932" i="18" s="1"/>
  <c r="A933" i="18"/>
  <c r="B933" i="18" s="1"/>
  <c r="A934" i="18"/>
  <c r="B934" i="18" s="1"/>
  <c r="A935" i="18"/>
  <c r="B935" i="18" s="1"/>
  <c r="A936" i="18"/>
  <c r="B936" i="18" s="1"/>
  <c r="A937" i="18"/>
  <c r="B937" i="18" s="1"/>
  <c r="A938" i="18"/>
  <c r="B938" i="18" s="1"/>
  <c r="A939" i="18"/>
  <c r="B939" i="18" s="1"/>
  <c r="A940" i="18"/>
  <c r="B940" i="18" s="1"/>
  <c r="A941" i="18"/>
  <c r="B941" i="18" s="1"/>
  <c r="A942" i="18"/>
  <c r="B942" i="18" s="1"/>
  <c r="A943" i="18"/>
  <c r="B943" i="18" s="1"/>
  <c r="A944" i="18"/>
  <c r="B944" i="18" s="1"/>
  <c r="A945" i="18"/>
  <c r="B945" i="18" s="1"/>
  <c r="A946" i="18"/>
  <c r="B946" i="18" s="1"/>
  <c r="A947" i="18"/>
  <c r="B947" i="18" s="1"/>
  <c r="A948" i="18"/>
  <c r="B948" i="18" s="1"/>
  <c r="A949" i="18"/>
  <c r="B949" i="18" s="1"/>
  <c r="A950" i="18"/>
  <c r="B950" i="18" s="1"/>
  <c r="A951" i="18"/>
  <c r="B951" i="18" s="1"/>
  <c r="A952" i="18"/>
  <c r="B952" i="18" s="1"/>
  <c r="A953" i="18"/>
  <c r="B953" i="18" s="1"/>
  <c r="A954" i="18"/>
  <c r="B954" i="18" s="1"/>
  <c r="A955" i="18"/>
  <c r="B955" i="18" s="1"/>
  <c r="A956" i="18"/>
  <c r="B956" i="18" s="1"/>
  <c r="A957" i="18"/>
  <c r="B957" i="18" s="1"/>
  <c r="A958" i="18"/>
  <c r="B958" i="18" s="1"/>
  <c r="A959" i="18"/>
  <c r="B959" i="18" s="1"/>
  <c r="A960" i="18"/>
  <c r="B960" i="18" s="1"/>
  <c r="A961" i="18"/>
  <c r="B961" i="18" s="1"/>
  <c r="A962" i="18"/>
  <c r="B962" i="18" s="1"/>
  <c r="A963" i="18"/>
  <c r="B963" i="18" s="1"/>
  <c r="A964" i="18"/>
  <c r="B964" i="18" s="1"/>
  <c r="A965" i="18"/>
  <c r="B965" i="18" s="1"/>
  <c r="A966" i="18"/>
  <c r="B966" i="18" s="1"/>
  <c r="A967" i="18"/>
  <c r="B967" i="18" s="1"/>
  <c r="A968" i="18"/>
  <c r="B968" i="18" s="1"/>
  <c r="A969" i="18"/>
  <c r="B969" i="18" s="1"/>
  <c r="A970" i="18"/>
  <c r="B970" i="18" s="1"/>
  <c r="A971" i="18"/>
  <c r="B971" i="18" s="1"/>
  <c r="A972" i="18"/>
  <c r="B972" i="18" s="1"/>
  <c r="A973" i="18"/>
  <c r="B973" i="18" s="1"/>
  <c r="A974" i="18"/>
  <c r="B974" i="18" s="1"/>
  <c r="A975" i="18"/>
  <c r="B975" i="18" s="1"/>
  <c r="A976" i="18"/>
  <c r="B976" i="18" s="1"/>
  <c r="A977" i="18"/>
  <c r="B977" i="18" s="1"/>
  <c r="A978" i="18"/>
  <c r="B978" i="18" s="1"/>
  <c r="A979" i="18"/>
  <c r="B979" i="18" s="1"/>
  <c r="A980" i="18"/>
  <c r="B980" i="18" s="1"/>
  <c r="A981" i="18"/>
  <c r="B981" i="18" s="1"/>
  <c r="A982" i="18"/>
  <c r="B982" i="18" s="1"/>
  <c r="A983" i="18"/>
  <c r="B983" i="18" s="1"/>
  <c r="A984" i="18"/>
  <c r="B984" i="18" s="1"/>
  <c r="A985" i="18"/>
  <c r="B985" i="18" s="1"/>
  <c r="A986" i="18"/>
  <c r="B986" i="18" s="1"/>
  <c r="A987" i="18"/>
  <c r="B987" i="18" s="1"/>
  <c r="A988" i="18"/>
  <c r="B988" i="18" s="1"/>
  <c r="A989" i="18"/>
  <c r="B989" i="18" s="1"/>
  <c r="A990" i="18"/>
  <c r="B990" i="18" s="1"/>
  <c r="A991" i="18"/>
  <c r="B991" i="18" s="1"/>
  <c r="A992" i="18"/>
  <c r="B992" i="18" s="1"/>
  <c r="A993" i="18"/>
  <c r="B993" i="18" s="1"/>
  <c r="A994" i="18"/>
  <c r="B994" i="18" s="1"/>
  <c r="A995" i="18"/>
  <c r="B995" i="18" s="1"/>
  <c r="A996" i="18"/>
  <c r="B996" i="18" s="1"/>
  <c r="A997" i="18"/>
  <c r="B997" i="18" s="1"/>
  <c r="A998" i="18"/>
  <c r="B998" i="18" s="1"/>
  <c r="A999" i="18"/>
  <c r="B999" i="18" s="1"/>
  <c r="A1000" i="18"/>
  <c r="B1000" i="18" s="1"/>
  <c r="A1001" i="18"/>
  <c r="B1001" i="18" s="1"/>
  <c r="A1002" i="18"/>
  <c r="B1002" i="18" s="1"/>
  <c r="A1003" i="18"/>
  <c r="B1003" i="18" s="1"/>
  <c r="A1004" i="18"/>
  <c r="B1004" i="18" s="1"/>
  <c r="A1005" i="18"/>
  <c r="B1005" i="18" s="1"/>
  <c r="A1006" i="18"/>
  <c r="B1006" i="18" s="1"/>
  <c r="A1007" i="18"/>
  <c r="B1007" i="18" s="1"/>
  <c r="A1008" i="18"/>
  <c r="B1008" i="18" s="1"/>
  <c r="A1009" i="18"/>
  <c r="B1009" i="18" s="1"/>
  <c r="A1010" i="18"/>
  <c r="B1010" i="18" s="1"/>
  <c r="A1011" i="18"/>
  <c r="B1011" i="18" s="1"/>
  <c r="A1012" i="18"/>
  <c r="B1012" i="18" s="1"/>
  <c r="A1013" i="18"/>
  <c r="B1013" i="18" s="1"/>
  <c r="A1014" i="18"/>
  <c r="B1014" i="18" s="1"/>
  <c r="A1015" i="18"/>
  <c r="B1015" i="18" s="1"/>
  <c r="A1016" i="18"/>
  <c r="B1016" i="18" s="1"/>
  <c r="A1017" i="18"/>
  <c r="B1017" i="18" s="1"/>
  <c r="A1018" i="18"/>
  <c r="B1018" i="18" s="1"/>
  <c r="A1019" i="18"/>
  <c r="B1019" i="18" s="1"/>
  <c r="A1020" i="18"/>
  <c r="B1020" i="18" s="1"/>
  <c r="A1021" i="18"/>
  <c r="B1021" i="18" s="1"/>
  <c r="A1022" i="18"/>
  <c r="B1022" i="18" s="1"/>
  <c r="A1023" i="18"/>
  <c r="B1023" i="18" s="1"/>
  <c r="A1024" i="18"/>
  <c r="B1024" i="18" s="1"/>
  <c r="A1025" i="18"/>
  <c r="B1025" i="18" s="1"/>
  <c r="A1026" i="18"/>
  <c r="B1026" i="18" s="1"/>
  <c r="A1027" i="18"/>
  <c r="B1027" i="18" s="1"/>
  <c r="A1028" i="18"/>
  <c r="B1028" i="18" s="1"/>
  <c r="A1029" i="18"/>
  <c r="B1029" i="18" s="1"/>
  <c r="A1030" i="18"/>
  <c r="B1030" i="18" s="1"/>
  <c r="A1031" i="18"/>
  <c r="B1031" i="18" s="1"/>
  <c r="A1032" i="18"/>
  <c r="B1032" i="18" s="1"/>
  <c r="A1033" i="18"/>
  <c r="B1033" i="18" s="1"/>
  <c r="A1034" i="18"/>
  <c r="B1034" i="18" s="1"/>
  <c r="A1035" i="18"/>
  <c r="B1035" i="18" s="1"/>
  <c r="A1036" i="18"/>
  <c r="B1036" i="18" s="1"/>
  <c r="A1037" i="18"/>
  <c r="B1037" i="18" s="1"/>
  <c r="A1038" i="18"/>
  <c r="B1038" i="18" s="1"/>
  <c r="A1039" i="18"/>
  <c r="B1039" i="18" s="1"/>
  <c r="A1040" i="18"/>
  <c r="B1040" i="18" s="1"/>
  <c r="A1041" i="18"/>
  <c r="B1041" i="18" s="1"/>
  <c r="A1042" i="18"/>
  <c r="B1042" i="18" s="1"/>
  <c r="A1043" i="18"/>
  <c r="B1043" i="18" s="1"/>
  <c r="A1044" i="18"/>
  <c r="B1044" i="18" s="1"/>
  <c r="A1045" i="18"/>
  <c r="B1045" i="18" s="1"/>
  <c r="A1046" i="18"/>
  <c r="B1046" i="18" s="1"/>
  <c r="A1047" i="18"/>
  <c r="B1047" i="18" s="1"/>
  <c r="A1048" i="18"/>
  <c r="B1048" i="18" s="1"/>
  <c r="A1049" i="18"/>
  <c r="B1049" i="18" s="1"/>
  <c r="A1050" i="18"/>
  <c r="B1050" i="18" s="1"/>
  <c r="A1051" i="18"/>
  <c r="B1051" i="18" s="1"/>
  <c r="A1052" i="18"/>
  <c r="B1052" i="18" s="1"/>
  <c r="A1053" i="18"/>
  <c r="B1053" i="18" s="1"/>
  <c r="A1054" i="18"/>
  <c r="B1054" i="18" s="1"/>
  <c r="A1055" i="18"/>
  <c r="B1055" i="18" s="1"/>
  <c r="A1056" i="18"/>
  <c r="B1056" i="18" s="1"/>
  <c r="A1057" i="18"/>
  <c r="B1057" i="18" s="1"/>
  <c r="A1058" i="18"/>
  <c r="B1058" i="18" s="1"/>
  <c r="A1059" i="18"/>
  <c r="B1059" i="18" s="1"/>
  <c r="A1060" i="18"/>
  <c r="B1060" i="18" s="1"/>
  <c r="A1061" i="18"/>
  <c r="B1061" i="18" s="1"/>
  <c r="A1062" i="18"/>
  <c r="B1062" i="18" s="1"/>
  <c r="A1063" i="18"/>
  <c r="B1063" i="18" s="1"/>
  <c r="A1064" i="18"/>
  <c r="B1064" i="18" s="1"/>
  <c r="A1065" i="18"/>
  <c r="B1065" i="18" s="1"/>
  <c r="A1066" i="18"/>
  <c r="B1066" i="18" s="1"/>
  <c r="A1067" i="18"/>
  <c r="B1067" i="18" s="1"/>
  <c r="A1068" i="18"/>
  <c r="B1068" i="18" s="1"/>
  <c r="A1069" i="18"/>
  <c r="B1069" i="18" s="1"/>
  <c r="A1070" i="18"/>
  <c r="B1070" i="18" s="1"/>
  <c r="A1071" i="18"/>
  <c r="B1071" i="18" s="1"/>
  <c r="A1072" i="18"/>
  <c r="B1072" i="18" s="1"/>
  <c r="A1073" i="18"/>
  <c r="B1073" i="18" s="1"/>
  <c r="A1074" i="18"/>
  <c r="B1074" i="18" s="1"/>
  <c r="A1075" i="18"/>
  <c r="B1075" i="18" s="1"/>
  <c r="A1076" i="18"/>
  <c r="B1076" i="18" s="1"/>
  <c r="A1077" i="18"/>
  <c r="B1077" i="18" s="1"/>
  <c r="A1078" i="18"/>
  <c r="B1078" i="18" s="1"/>
  <c r="A1079" i="18"/>
  <c r="B1079" i="18" s="1"/>
  <c r="A1080" i="18"/>
  <c r="B1080" i="18" s="1"/>
  <c r="A1081" i="18"/>
  <c r="B1081" i="18" s="1"/>
  <c r="A1082" i="18"/>
  <c r="B1082" i="18" s="1"/>
  <c r="A1083" i="18"/>
  <c r="B1083" i="18" s="1"/>
  <c r="A1084" i="18"/>
  <c r="B1084" i="18" s="1"/>
  <c r="A1085" i="18"/>
  <c r="B1085" i="18" s="1"/>
  <c r="A1086" i="18"/>
  <c r="B1086" i="18" s="1"/>
  <c r="A1087" i="18"/>
  <c r="B1087" i="18" s="1"/>
  <c r="A1088" i="18"/>
  <c r="B1088" i="18" s="1"/>
  <c r="A1089" i="18"/>
  <c r="B1089" i="18" s="1"/>
  <c r="A1090" i="18"/>
  <c r="B1090" i="18" s="1"/>
  <c r="A1091" i="18"/>
  <c r="B1091" i="18" s="1"/>
  <c r="A1092" i="18"/>
  <c r="B1092" i="18" s="1"/>
  <c r="A1093" i="18"/>
  <c r="B1093" i="18" s="1"/>
  <c r="A1094" i="18"/>
  <c r="B1094" i="18" s="1"/>
  <c r="A1095" i="18"/>
  <c r="B1095" i="18" s="1"/>
  <c r="A1096" i="18"/>
  <c r="B1096" i="18" s="1"/>
  <c r="A1097" i="18"/>
  <c r="B1097" i="18" s="1"/>
  <c r="A1098" i="18"/>
  <c r="B1098" i="18" s="1"/>
  <c r="A1099" i="18"/>
  <c r="B1099" i="18" s="1"/>
  <c r="A1100" i="18"/>
  <c r="B1100" i="18" s="1"/>
  <c r="A1101" i="18"/>
  <c r="B1101" i="18" s="1"/>
  <c r="A1102" i="18"/>
  <c r="B1102" i="18" s="1"/>
  <c r="A1103" i="18"/>
  <c r="B1103" i="18" s="1"/>
  <c r="A1104" i="18"/>
  <c r="B1104" i="18" s="1"/>
  <c r="A1105" i="18"/>
  <c r="B1105" i="18" s="1"/>
  <c r="A1106" i="18"/>
  <c r="B1106" i="18" s="1"/>
  <c r="A1107" i="18"/>
  <c r="B1107" i="18" s="1"/>
  <c r="A1108" i="18"/>
  <c r="B1108" i="18" s="1"/>
  <c r="A1109" i="18"/>
  <c r="B1109" i="18" s="1"/>
  <c r="A1110" i="18"/>
  <c r="B1110" i="18" s="1"/>
  <c r="A1111" i="18"/>
  <c r="B1111" i="18" s="1"/>
  <c r="A1112" i="18"/>
  <c r="B1112" i="18" s="1"/>
  <c r="A1113" i="18"/>
  <c r="B1113" i="18" s="1"/>
  <c r="A1114" i="18"/>
  <c r="B1114" i="18" s="1"/>
  <c r="A1115" i="18"/>
  <c r="B1115" i="18" s="1"/>
  <c r="A1116" i="18"/>
  <c r="B1116" i="18" s="1"/>
  <c r="A1117" i="18"/>
  <c r="B1117" i="18" s="1"/>
  <c r="A1118" i="18"/>
  <c r="B1118" i="18" s="1"/>
  <c r="A1119" i="18"/>
  <c r="B1119" i="18" s="1"/>
  <c r="A1120" i="18"/>
  <c r="B1120" i="18" s="1"/>
  <c r="A1121" i="18"/>
  <c r="B1121" i="18" s="1"/>
  <c r="A1122" i="18"/>
  <c r="B1122" i="18" s="1"/>
  <c r="A1123" i="18"/>
  <c r="B1123" i="18" s="1"/>
  <c r="A1124" i="18"/>
  <c r="B1124" i="18" s="1"/>
  <c r="A1125" i="18"/>
  <c r="B1125" i="18" s="1"/>
  <c r="A1126" i="18"/>
  <c r="B1126" i="18" s="1"/>
  <c r="A1127" i="18"/>
  <c r="B1127" i="18" s="1"/>
  <c r="A1128" i="18"/>
  <c r="B1128" i="18" s="1"/>
  <c r="A1129" i="18"/>
  <c r="B1129" i="18" s="1"/>
  <c r="A1130" i="18"/>
  <c r="B1130" i="18" s="1"/>
  <c r="A1131" i="18"/>
  <c r="B1131" i="18" s="1"/>
  <c r="A1132" i="18"/>
  <c r="B1132" i="18" s="1"/>
  <c r="A1133" i="18"/>
  <c r="B1133" i="18" s="1"/>
  <c r="A1134" i="18"/>
  <c r="B1134" i="18" s="1"/>
  <c r="A1135" i="18"/>
  <c r="B1135" i="18" s="1"/>
  <c r="A1136" i="18"/>
  <c r="B1136" i="18" s="1"/>
  <c r="A1137" i="18"/>
  <c r="B1137" i="18" s="1"/>
  <c r="A1138" i="18"/>
  <c r="B1138" i="18" s="1"/>
  <c r="A1139" i="18"/>
  <c r="B1139" i="18" s="1"/>
  <c r="A1140" i="18"/>
  <c r="B1140" i="18" s="1"/>
  <c r="A1141" i="18"/>
  <c r="B1141" i="18" s="1"/>
  <c r="A1142" i="18"/>
  <c r="B1142" i="18" s="1"/>
  <c r="A1143" i="18"/>
  <c r="B1143" i="18" s="1"/>
  <c r="A1144" i="18"/>
  <c r="B1144" i="18" s="1"/>
  <c r="A1145" i="18"/>
  <c r="B1145" i="18" s="1"/>
  <c r="A1146" i="18"/>
  <c r="B1146" i="18" s="1"/>
  <c r="A1147" i="18"/>
  <c r="B1147" i="18" s="1"/>
  <c r="A1148" i="18"/>
  <c r="B1148" i="18" s="1"/>
  <c r="A1149" i="18"/>
  <c r="B1149" i="18" s="1"/>
  <c r="A1150" i="18"/>
  <c r="B1150" i="18" s="1"/>
  <c r="A1151" i="18"/>
  <c r="B1151" i="18" s="1"/>
  <c r="A1152" i="18"/>
  <c r="B1152" i="18" s="1"/>
  <c r="A1153" i="18"/>
  <c r="B1153" i="18" s="1"/>
  <c r="A1154" i="18"/>
  <c r="B1154" i="18" s="1"/>
  <c r="A1155" i="18"/>
  <c r="B1155" i="18" s="1"/>
  <c r="A1156" i="18"/>
  <c r="B1156" i="18" s="1"/>
  <c r="A1157" i="18"/>
  <c r="B1157" i="18" s="1"/>
  <c r="A1158" i="18"/>
  <c r="B1158" i="18" s="1"/>
  <c r="A1159" i="18"/>
  <c r="B1159" i="18" s="1"/>
  <c r="A1160" i="18"/>
  <c r="B1160" i="18" s="1"/>
  <c r="A1161" i="18"/>
  <c r="B1161" i="18" s="1"/>
  <c r="A1162" i="18"/>
  <c r="B1162" i="18" s="1"/>
  <c r="A1163" i="18"/>
  <c r="B1163" i="18" s="1"/>
  <c r="A1164" i="18"/>
  <c r="B1164" i="18" s="1"/>
  <c r="A1165" i="18"/>
  <c r="B1165" i="18" s="1"/>
  <c r="A1166" i="18"/>
  <c r="B1166" i="18" s="1"/>
  <c r="A1167" i="18"/>
  <c r="B1167" i="18" s="1"/>
  <c r="A1168" i="18"/>
  <c r="B1168" i="18" s="1"/>
  <c r="A1169" i="18"/>
  <c r="B1169" i="18" s="1"/>
  <c r="A1170" i="18"/>
  <c r="B1170" i="18" s="1"/>
  <c r="A1171" i="18"/>
  <c r="B1171" i="18" s="1"/>
  <c r="A1172" i="18"/>
  <c r="B1172" i="18" s="1"/>
  <c r="A1173" i="18"/>
  <c r="B1173" i="18" s="1"/>
  <c r="A1174" i="18"/>
  <c r="B1174" i="18" s="1"/>
  <c r="A1175" i="18"/>
  <c r="B1175" i="18" s="1"/>
  <c r="A1176" i="18"/>
  <c r="B1176" i="18" s="1"/>
  <c r="A1177" i="18"/>
  <c r="B1177" i="18" s="1"/>
  <c r="A1178" i="18"/>
  <c r="B1178" i="18" s="1"/>
  <c r="A1179" i="18"/>
  <c r="B1179" i="18" s="1"/>
  <c r="A1180" i="18"/>
  <c r="B1180" i="18" s="1"/>
  <c r="A1181" i="18"/>
  <c r="B1181" i="18" s="1"/>
  <c r="A1182" i="18"/>
  <c r="B1182" i="18" s="1"/>
  <c r="A1183" i="18"/>
  <c r="B1183" i="18" s="1"/>
  <c r="A1184" i="18"/>
  <c r="B1184" i="18" s="1"/>
  <c r="A1185" i="18"/>
  <c r="B1185" i="18" s="1"/>
  <c r="A1186" i="18"/>
  <c r="B1186" i="18" s="1"/>
  <c r="A1187" i="18"/>
  <c r="B1187" i="18" s="1"/>
  <c r="A1188" i="18"/>
  <c r="B1188" i="18" s="1"/>
  <c r="A1189" i="18"/>
  <c r="B1189" i="18" s="1"/>
  <c r="A1190" i="18"/>
  <c r="B1190" i="18" s="1"/>
  <c r="A1191" i="18"/>
  <c r="B1191" i="18" s="1"/>
  <c r="A1192" i="18"/>
  <c r="B1192" i="18" s="1"/>
  <c r="A1193" i="18"/>
  <c r="B1193" i="18" s="1"/>
  <c r="A1194" i="18"/>
  <c r="B1194" i="18" s="1"/>
  <c r="A1195" i="18"/>
  <c r="B1195" i="18" s="1"/>
  <c r="A1196" i="18"/>
  <c r="B1196" i="18" s="1"/>
  <c r="A1197" i="18"/>
  <c r="B1197" i="18" s="1"/>
  <c r="A1198" i="18"/>
  <c r="B1198" i="18" s="1"/>
  <c r="A1199" i="18"/>
  <c r="B1199" i="18" s="1"/>
  <c r="A1200" i="18"/>
  <c r="B1200" i="18" s="1"/>
  <c r="A1201" i="18"/>
  <c r="B1201" i="18" s="1"/>
  <c r="A1202" i="18"/>
  <c r="B1202" i="18" s="1"/>
  <c r="A1203" i="18"/>
  <c r="B1203" i="18" s="1"/>
  <c r="A1204" i="18"/>
  <c r="B1204" i="18" s="1"/>
  <c r="A1205" i="18"/>
  <c r="B1205" i="18" s="1"/>
  <c r="A1206" i="18"/>
  <c r="B1206" i="18" s="1"/>
  <c r="A1207" i="18"/>
  <c r="B1207" i="18" s="1"/>
  <c r="A1208" i="18"/>
  <c r="B1208" i="18" s="1"/>
  <c r="A1209" i="18"/>
  <c r="B1209" i="18" s="1"/>
  <c r="A1210" i="18"/>
  <c r="B1210" i="18" s="1"/>
  <c r="A1211" i="18"/>
  <c r="B1211" i="18" s="1"/>
  <c r="A1212" i="18"/>
  <c r="B1212" i="18" s="1"/>
  <c r="A1213" i="18"/>
  <c r="B1213" i="18" s="1"/>
  <c r="A1214" i="18"/>
  <c r="B1214" i="18" s="1"/>
  <c r="A1215" i="18"/>
  <c r="B1215" i="18" s="1"/>
  <c r="A1216" i="18"/>
  <c r="B1216" i="18" s="1"/>
  <c r="A1217" i="18"/>
  <c r="B1217" i="18" s="1"/>
  <c r="A1218" i="18"/>
  <c r="B1218" i="18" s="1"/>
  <c r="A1219" i="18"/>
  <c r="B1219" i="18" s="1"/>
  <c r="A1220" i="18"/>
  <c r="B1220" i="18" s="1"/>
  <c r="A1221" i="18"/>
  <c r="B1221" i="18" s="1"/>
  <c r="A1222" i="18"/>
  <c r="B1222" i="18" s="1"/>
  <c r="A1223" i="18"/>
  <c r="B1223" i="18" s="1"/>
  <c r="A1224" i="18"/>
  <c r="B1224" i="18" s="1"/>
  <c r="A1225" i="18"/>
  <c r="B1225" i="18" s="1"/>
  <c r="A1226" i="18"/>
  <c r="B1226" i="18" s="1"/>
  <c r="A1227" i="18"/>
  <c r="B1227" i="18" s="1"/>
  <c r="A1228" i="18"/>
  <c r="B1228" i="18" s="1"/>
  <c r="A1229" i="18"/>
  <c r="B1229" i="18" s="1"/>
  <c r="A1230" i="18"/>
  <c r="B1230" i="18" s="1"/>
  <c r="A1231" i="18"/>
  <c r="B1231" i="18" s="1"/>
  <c r="A1232" i="18"/>
  <c r="B1232" i="18" s="1"/>
  <c r="A1233" i="18"/>
  <c r="B1233" i="18" s="1"/>
  <c r="A1234" i="18"/>
  <c r="B1234" i="18" s="1"/>
  <c r="A1235" i="18"/>
  <c r="B1235" i="18" s="1"/>
  <c r="A1236" i="18"/>
  <c r="B1236" i="18" s="1"/>
  <c r="A1237" i="18"/>
  <c r="B1237" i="18" s="1"/>
  <c r="A1238" i="18"/>
  <c r="B1238" i="18" s="1"/>
  <c r="A1239" i="18"/>
  <c r="B1239" i="18" s="1"/>
  <c r="A1240" i="18"/>
  <c r="B1240" i="18" s="1"/>
  <c r="A1241" i="18"/>
  <c r="B1241" i="18" s="1"/>
  <c r="A1242" i="18"/>
  <c r="B1242" i="18" s="1"/>
  <c r="A1243" i="18"/>
  <c r="B1243" i="18" s="1"/>
  <c r="A1244" i="18"/>
  <c r="B1244" i="18" s="1"/>
  <c r="A1245" i="18"/>
  <c r="B1245" i="18" s="1"/>
  <c r="A1246" i="18"/>
  <c r="B1246" i="18" s="1"/>
  <c r="A1247" i="18"/>
  <c r="B1247" i="18" s="1"/>
  <c r="A1248" i="18"/>
  <c r="B1248" i="18" s="1"/>
  <c r="A1249" i="18"/>
  <c r="B1249" i="18" s="1"/>
  <c r="A1250" i="18"/>
  <c r="B1250" i="18" s="1"/>
  <c r="A1251" i="18"/>
  <c r="B1251" i="18" s="1"/>
  <c r="A1252" i="18"/>
  <c r="B1252" i="18" s="1"/>
  <c r="A1253" i="18"/>
  <c r="B1253" i="18" s="1"/>
  <c r="A1254" i="18"/>
  <c r="B1254" i="18" s="1"/>
  <c r="A1255" i="18"/>
  <c r="B1255" i="18" s="1"/>
  <c r="A1256" i="18"/>
  <c r="B1256" i="18" s="1"/>
  <c r="A1257" i="18"/>
  <c r="B1257" i="18" s="1"/>
  <c r="A1258" i="18"/>
  <c r="B1258" i="18" s="1"/>
  <c r="A1259" i="18"/>
  <c r="B1259" i="18" s="1"/>
  <c r="A1260" i="18"/>
  <c r="B1260" i="18" s="1"/>
  <c r="A1261" i="18"/>
  <c r="B1261" i="18" s="1"/>
  <c r="A1262" i="18"/>
  <c r="B1262" i="18" s="1"/>
  <c r="A1263" i="18"/>
  <c r="B1263" i="18" s="1"/>
  <c r="A1264" i="18"/>
  <c r="B1264" i="18" s="1"/>
  <c r="A1265" i="18"/>
  <c r="B1265" i="18" s="1"/>
  <c r="A1266" i="18"/>
  <c r="B1266" i="18" s="1"/>
  <c r="A1267" i="18"/>
  <c r="B1267" i="18" s="1"/>
  <c r="A1268" i="18"/>
  <c r="B1268" i="18" s="1"/>
  <c r="A1269" i="18"/>
  <c r="B1269" i="18" s="1"/>
  <c r="A1270" i="18"/>
  <c r="B1270" i="18" s="1"/>
  <c r="A1271" i="18"/>
  <c r="B1271" i="18" s="1"/>
  <c r="A1272" i="18"/>
  <c r="B1272" i="18" s="1"/>
  <c r="A1273" i="18"/>
  <c r="B1273" i="18" s="1"/>
  <c r="A1274" i="18"/>
  <c r="B1274" i="18" s="1"/>
  <c r="A1275" i="18"/>
  <c r="B1275" i="18" s="1"/>
  <c r="A1276" i="18"/>
  <c r="B1276" i="18" s="1"/>
  <c r="A1277" i="18"/>
  <c r="B1277" i="18" s="1"/>
  <c r="A1278" i="18"/>
  <c r="B1278" i="18" s="1"/>
  <c r="A1279" i="18"/>
  <c r="B1279" i="18" s="1"/>
  <c r="A1280" i="18"/>
  <c r="B1280" i="18" s="1"/>
  <c r="A1281" i="18"/>
  <c r="B1281" i="18" s="1"/>
  <c r="A1282" i="18"/>
  <c r="B1282" i="18" s="1"/>
  <c r="A1283" i="18"/>
  <c r="B1283" i="18" s="1"/>
  <c r="A1284" i="18"/>
  <c r="B1284" i="18" s="1"/>
  <c r="A1285" i="18"/>
  <c r="B1285" i="18" s="1"/>
  <c r="A1286" i="18"/>
  <c r="B1286" i="18" s="1"/>
  <c r="A1287" i="18"/>
  <c r="B1287" i="18" s="1"/>
  <c r="A1288" i="18"/>
  <c r="B1288" i="18" s="1"/>
  <c r="A1289" i="18"/>
  <c r="B1289" i="18" s="1"/>
  <c r="A1290" i="18"/>
  <c r="B1290" i="18" s="1"/>
  <c r="A1291" i="18"/>
  <c r="B1291" i="18" s="1"/>
  <c r="A1292" i="18"/>
  <c r="B1292" i="18" s="1"/>
  <c r="A1293" i="18"/>
  <c r="B1293" i="18" s="1"/>
  <c r="A1294" i="18"/>
  <c r="B1294" i="18" s="1"/>
  <c r="A1295" i="18"/>
  <c r="B1295" i="18" s="1"/>
  <c r="A1296" i="18"/>
  <c r="B1296" i="18" s="1"/>
  <c r="A1297" i="18"/>
  <c r="B1297" i="18" s="1"/>
  <c r="A1298" i="18"/>
  <c r="B1298" i="18" s="1"/>
  <c r="A1299" i="18"/>
  <c r="B1299" i="18" s="1"/>
  <c r="A1300" i="18"/>
  <c r="B1300" i="18" s="1"/>
  <c r="A1301" i="18"/>
  <c r="B1301" i="18" s="1"/>
  <c r="A1302" i="18"/>
  <c r="B1302" i="18" s="1"/>
  <c r="A1303" i="18"/>
  <c r="B1303" i="18" s="1"/>
  <c r="A1304" i="18"/>
  <c r="B1304" i="18" s="1"/>
  <c r="A1305" i="18"/>
  <c r="B1305" i="18" s="1"/>
  <c r="A1306" i="18"/>
  <c r="B1306" i="18" s="1"/>
  <c r="A1307" i="18"/>
  <c r="B1307" i="18" s="1"/>
  <c r="A1308" i="18"/>
  <c r="B1308" i="18" s="1"/>
  <c r="A1309" i="18"/>
  <c r="B1309" i="18" s="1"/>
  <c r="A1310" i="18"/>
  <c r="B1310" i="18" s="1"/>
  <c r="A1311" i="18"/>
  <c r="B1311" i="18" s="1"/>
  <c r="A1312" i="18"/>
  <c r="B1312" i="18" s="1"/>
  <c r="A1313" i="18"/>
  <c r="B1313" i="18" s="1"/>
  <c r="A1314" i="18"/>
  <c r="B1314" i="18" s="1"/>
  <c r="A1315" i="18"/>
  <c r="B1315" i="18" s="1"/>
  <c r="A1316" i="18"/>
  <c r="B1316" i="18" s="1"/>
  <c r="A1317" i="18"/>
  <c r="B1317" i="18" s="1"/>
  <c r="A1318" i="18"/>
  <c r="B1318" i="18" s="1"/>
  <c r="A1319" i="18"/>
  <c r="B1319" i="18" s="1"/>
  <c r="A1320" i="18"/>
  <c r="B1320" i="18" s="1"/>
  <c r="A1321" i="18"/>
  <c r="B1321" i="18" s="1"/>
  <c r="A1322" i="18"/>
  <c r="B1322" i="18" s="1"/>
  <c r="A1323" i="18"/>
  <c r="B1323" i="18" s="1"/>
  <c r="A1324" i="18"/>
  <c r="B1324" i="18" s="1"/>
  <c r="A1325" i="18"/>
  <c r="B1325" i="18" s="1"/>
  <c r="A1326" i="18"/>
  <c r="B1326" i="18" s="1"/>
  <c r="A1327" i="18"/>
  <c r="B1327" i="18" s="1"/>
  <c r="A1328" i="18"/>
  <c r="B1328" i="18" s="1"/>
  <c r="A1329" i="18"/>
  <c r="B1329" i="18" s="1"/>
  <c r="A1330" i="18"/>
  <c r="B1330" i="18" s="1"/>
  <c r="A1331" i="18"/>
  <c r="B1331" i="18" s="1"/>
  <c r="A1332" i="18"/>
  <c r="B1332" i="18" s="1"/>
  <c r="A1333" i="18"/>
  <c r="B1333" i="18" s="1"/>
  <c r="A1334" i="18"/>
  <c r="B1334" i="18" s="1"/>
  <c r="A1335" i="18"/>
  <c r="B1335" i="18" s="1"/>
  <c r="A1336" i="18"/>
  <c r="B1336" i="18" s="1"/>
  <c r="A1337" i="18"/>
  <c r="B1337" i="18" s="1"/>
  <c r="A1338" i="18"/>
  <c r="B1338" i="18" s="1"/>
  <c r="A1339" i="18"/>
  <c r="B1339" i="18" s="1"/>
  <c r="A1340" i="18"/>
  <c r="B1340" i="18" s="1"/>
  <c r="A1341" i="18"/>
  <c r="B1341" i="18" s="1"/>
  <c r="A1342" i="18"/>
  <c r="B1342" i="18" s="1"/>
  <c r="A1343" i="18"/>
  <c r="B1343" i="18" s="1"/>
  <c r="A1344" i="18"/>
  <c r="B1344" i="18" s="1"/>
  <c r="A1345" i="18"/>
  <c r="B1345" i="18" s="1"/>
  <c r="A1346" i="18"/>
  <c r="B1346" i="18" s="1"/>
  <c r="A1347" i="18"/>
  <c r="B1347" i="18" s="1"/>
  <c r="A1348" i="18"/>
  <c r="B1348" i="18" s="1"/>
  <c r="A1349" i="18"/>
  <c r="B1349" i="18" s="1"/>
  <c r="A1350" i="18"/>
  <c r="B1350" i="18" s="1"/>
  <c r="A1351" i="18"/>
  <c r="B1351" i="18" s="1"/>
  <c r="A1352" i="18"/>
  <c r="B1352" i="18" s="1"/>
  <c r="A1353" i="18"/>
  <c r="B1353" i="18" s="1"/>
  <c r="A1354" i="18"/>
  <c r="B1354" i="18" s="1"/>
  <c r="A1355" i="18"/>
  <c r="B1355" i="18" s="1"/>
  <c r="A1356" i="18"/>
  <c r="B1356" i="18" s="1"/>
  <c r="A1357" i="18"/>
  <c r="B1357" i="18" s="1"/>
  <c r="A1358" i="18"/>
  <c r="B1358" i="18" s="1"/>
  <c r="A1359" i="18"/>
  <c r="B1359" i="18" s="1"/>
  <c r="A1360" i="18"/>
  <c r="B1360" i="18" s="1"/>
  <c r="A1361" i="18"/>
  <c r="B1361" i="18" s="1"/>
  <c r="A1362" i="18"/>
  <c r="B1362" i="18" s="1"/>
  <c r="A1363" i="18"/>
  <c r="B1363" i="18" s="1"/>
  <c r="A1364" i="18"/>
  <c r="B1364" i="18" s="1"/>
  <c r="A1365" i="18"/>
  <c r="B1365" i="18" s="1"/>
  <c r="A1366" i="18"/>
  <c r="B1366" i="18" s="1"/>
  <c r="A1367" i="18"/>
  <c r="B1367" i="18" s="1"/>
  <c r="A1368" i="18"/>
  <c r="B1368" i="18" s="1"/>
  <c r="A1369" i="18"/>
  <c r="B1369" i="18" s="1"/>
  <c r="A1370" i="18"/>
  <c r="B1370" i="18" s="1"/>
  <c r="A1371" i="18"/>
  <c r="B1371" i="18" s="1"/>
  <c r="A1372" i="18"/>
  <c r="B1372" i="18" s="1"/>
  <c r="A1373" i="18"/>
  <c r="B1373" i="18" s="1"/>
  <c r="A1374" i="18"/>
  <c r="B1374" i="18" s="1"/>
  <c r="A1375" i="18"/>
  <c r="B1375" i="18" s="1"/>
  <c r="A1376" i="18"/>
  <c r="B1376" i="18" s="1"/>
  <c r="A1377" i="18"/>
  <c r="B1377" i="18" s="1"/>
  <c r="A1378" i="18"/>
  <c r="B1378" i="18" s="1"/>
  <c r="A1379" i="18"/>
  <c r="B1379" i="18" s="1"/>
  <c r="A1380" i="18"/>
  <c r="B1380" i="18" s="1"/>
  <c r="A1381" i="18"/>
  <c r="B1381" i="18" s="1"/>
  <c r="A1382" i="18"/>
  <c r="B1382" i="18" s="1"/>
  <c r="A1383" i="18"/>
  <c r="B1383" i="18" s="1"/>
  <c r="A1384" i="18"/>
  <c r="B1384" i="18" s="1"/>
  <c r="A1385" i="18"/>
  <c r="B1385" i="18" s="1"/>
  <c r="A1386" i="18"/>
  <c r="B1386" i="18" s="1"/>
  <c r="A1387" i="18"/>
  <c r="B1387" i="18" s="1"/>
  <c r="A1388" i="18"/>
  <c r="B1388" i="18" s="1"/>
  <c r="A1389" i="18"/>
  <c r="B1389" i="18" s="1"/>
  <c r="A1390" i="18"/>
  <c r="B1390" i="18" s="1"/>
  <c r="A1391" i="18"/>
  <c r="B1391" i="18" s="1"/>
  <c r="A1392" i="18"/>
  <c r="B1392" i="18" s="1"/>
  <c r="A1393" i="18"/>
  <c r="B1393" i="18" s="1"/>
  <c r="A1394" i="18"/>
  <c r="B1394" i="18" s="1"/>
  <c r="A1395" i="18"/>
  <c r="B1395" i="18" s="1"/>
  <c r="A1396" i="18"/>
  <c r="B1396" i="18" s="1"/>
  <c r="A1397" i="18"/>
  <c r="B1397" i="18" s="1"/>
  <c r="A1398" i="18"/>
  <c r="B1398" i="18" s="1"/>
  <c r="A1399" i="18"/>
  <c r="B1399" i="18" s="1"/>
  <c r="A1400" i="18"/>
  <c r="B1400" i="18" s="1"/>
  <c r="A1401" i="18"/>
  <c r="B1401" i="18" s="1"/>
  <c r="A1402" i="18"/>
  <c r="B1402" i="18" s="1"/>
  <c r="A1403" i="18"/>
  <c r="B1403" i="18" s="1"/>
  <c r="A1404" i="18"/>
  <c r="B1404" i="18" s="1"/>
  <c r="A1405" i="18"/>
  <c r="B1405" i="18" s="1"/>
  <c r="A1406" i="18"/>
  <c r="B1406" i="18" s="1"/>
  <c r="A1407" i="18"/>
  <c r="B1407" i="18" s="1"/>
  <c r="A1408" i="18"/>
  <c r="B1408" i="18" s="1"/>
  <c r="A1409" i="18"/>
  <c r="B1409" i="18" s="1"/>
  <c r="A1410" i="18"/>
  <c r="B1410" i="18" s="1"/>
  <c r="A1411" i="18"/>
  <c r="B1411" i="18" s="1"/>
  <c r="A1412" i="18"/>
  <c r="B1412" i="18" s="1"/>
  <c r="A1413" i="18"/>
  <c r="B1413" i="18" s="1"/>
  <c r="A1414" i="18"/>
  <c r="B1414" i="18" s="1"/>
  <c r="A1415" i="18"/>
  <c r="B1415" i="18" s="1"/>
  <c r="A1416" i="18"/>
  <c r="B1416" i="18" s="1"/>
  <c r="A1417" i="18"/>
  <c r="B1417" i="18" s="1"/>
  <c r="A1418" i="18"/>
  <c r="B1418" i="18" s="1"/>
  <c r="A1419" i="18"/>
  <c r="B1419" i="18" s="1"/>
  <c r="A1420" i="18"/>
  <c r="B1420" i="18" s="1"/>
  <c r="A1421" i="18"/>
  <c r="B1421" i="18" s="1"/>
  <c r="A1422" i="18"/>
  <c r="B1422" i="18" s="1"/>
  <c r="A1423" i="18"/>
  <c r="B1423" i="18" s="1"/>
  <c r="A1424" i="18"/>
  <c r="B1424" i="18" s="1"/>
  <c r="A1425" i="18"/>
  <c r="B1425" i="18" s="1"/>
  <c r="A1426" i="18"/>
  <c r="B1426" i="18" s="1"/>
  <c r="A1427" i="18"/>
  <c r="B1427" i="18" s="1"/>
  <c r="A1428" i="18"/>
  <c r="B1428" i="18" s="1"/>
  <c r="A1429" i="18"/>
  <c r="B1429" i="18" s="1"/>
  <c r="A1430" i="18"/>
  <c r="B1430" i="18" s="1"/>
  <c r="A1431" i="18"/>
  <c r="B1431" i="18" s="1"/>
  <c r="A1432" i="18"/>
  <c r="B1432" i="18" s="1"/>
  <c r="A1433" i="18"/>
  <c r="B1433" i="18" s="1"/>
  <c r="A1434" i="18"/>
  <c r="B1434" i="18" s="1"/>
  <c r="A1435" i="18"/>
  <c r="B1435" i="18" s="1"/>
  <c r="A1436" i="18"/>
  <c r="B1436" i="18" s="1"/>
  <c r="A1437" i="18"/>
  <c r="B1437" i="18" s="1"/>
  <c r="A1438" i="18"/>
  <c r="B1438" i="18" s="1"/>
  <c r="A1439" i="18"/>
  <c r="B1439" i="18" s="1"/>
  <c r="A1440" i="18"/>
  <c r="B1440" i="18" s="1"/>
  <c r="A1441" i="18"/>
  <c r="B1441" i="18" s="1"/>
  <c r="A1442" i="18"/>
  <c r="B1442" i="18" s="1"/>
  <c r="A1443" i="18"/>
  <c r="B1443" i="18" s="1"/>
  <c r="A1444" i="18"/>
  <c r="B1444" i="18" s="1"/>
  <c r="A1445" i="18"/>
  <c r="B1445" i="18" s="1"/>
  <c r="A1446" i="18"/>
  <c r="B1446" i="18" s="1"/>
  <c r="A1447" i="18"/>
  <c r="B1447" i="18" s="1"/>
  <c r="A1448" i="18"/>
  <c r="B1448" i="18" s="1"/>
  <c r="A1449" i="18"/>
  <c r="B1449" i="18" s="1"/>
  <c r="A1450" i="18"/>
  <c r="B1450" i="18" s="1"/>
  <c r="A1451" i="18"/>
  <c r="B1451" i="18" s="1"/>
  <c r="A1452" i="18"/>
  <c r="B1452" i="18" s="1"/>
  <c r="A1453" i="18"/>
  <c r="B1453" i="18" s="1"/>
  <c r="A1454" i="18"/>
  <c r="B1454" i="18" s="1"/>
  <c r="A1455" i="18"/>
  <c r="B1455" i="18" s="1"/>
  <c r="A1456" i="18"/>
  <c r="B1456" i="18" s="1"/>
  <c r="A1457" i="18"/>
  <c r="B1457" i="18" s="1"/>
  <c r="A1458" i="18"/>
  <c r="B1458" i="18" s="1"/>
  <c r="A1459" i="18"/>
  <c r="B1459" i="18" s="1"/>
  <c r="A1460" i="18"/>
  <c r="B1460" i="18" s="1"/>
  <c r="A1461" i="18"/>
  <c r="B1461" i="18" s="1"/>
  <c r="A1462" i="18"/>
  <c r="B1462" i="18" s="1"/>
  <c r="A1463" i="18"/>
  <c r="B1463" i="18" s="1"/>
  <c r="A1464" i="18"/>
  <c r="B1464" i="18" s="1"/>
  <c r="A1465" i="18"/>
  <c r="B1465" i="18" s="1"/>
  <c r="A1466" i="18"/>
  <c r="B1466" i="18" s="1"/>
  <c r="A1467" i="18"/>
  <c r="B1467" i="18" s="1"/>
  <c r="A1468" i="18"/>
  <c r="B1468" i="18" s="1"/>
  <c r="A1469" i="18"/>
  <c r="B1469" i="18" s="1"/>
  <c r="A1470" i="18"/>
  <c r="B1470" i="18" s="1"/>
  <c r="A1471" i="18"/>
  <c r="B1471" i="18" s="1"/>
  <c r="A1472" i="18"/>
  <c r="B1472" i="18" s="1"/>
  <c r="A1473" i="18"/>
  <c r="B1473" i="18" s="1"/>
  <c r="A1474" i="18"/>
  <c r="B1474" i="18" s="1"/>
  <c r="A1475" i="18"/>
  <c r="B1475" i="18" s="1"/>
  <c r="A1476" i="18"/>
  <c r="B1476" i="18" s="1"/>
  <c r="A1477" i="18"/>
  <c r="B1477" i="18" s="1"/>
  <c r="A1478" i="18"/>
  <c r="B1478" i="18" s="1"/>
  <c r="A1479" i="18"/>
  <c r="B1479" i="18" s="1"/>
  <c r="A1480" i="18"/>
  <c r="B1480" i="18" s="1"/>
  <c r="A1481" i="18"/>
  <c r="B1481" i="18" s="1"/>
  <c r="A1482" i="18"/>
  <c r="B1482" i="18" s="1"/>
  <c r="A1483" i="18"/>
  <c r="B1483" i="18" s="1"/>
  <c r="A1484" i="18"/>
  <c r="B1484" i="18" s="1"/>
  <c r="A1485" i="18"/>
  <c r="B1485" i="18" s="1"/>
  <c r="A1486" i="18"/>
  <c r="B1486" i="18" s="1"/>
  <c r="A1487" i="18"/>
  <c r="B1487" i="18" s="1"/>
  <c r="A1488" i="18"/>
  <c r="B1488" i="18" s="1"/>
  <c r="A1489" i="18"/>
  <c r="B1489" i="18" s="1"/>
  <c r="A1490" i="18"/>
  <c r="B1490" i="18" s="1"/>
  <c r="A1491" i="18"/>
  <c r="B1491" i="18" s="1"/>
  <c r="A1492" i="18"/>
  <c r="B1492" i="18" s="1"/>
  <c r="A1493" i="18"/>
  <c r="B1493" i="18" s="1"/>
  <c r="A1494" i="18"/>
  <c r="B1494" i="18" s="1"/>
  <c r="A1495" i="18"/>
  <c r="B1495" i="18" s="1"/>
  <c r="A1496" i="18"/>
  <c r="B1496" i="18" s="1"/>
  <c r="A1497" i="18"/>
  <c r="B1497" i="18" s="1"/>
  <c r="A1498" i="18"/>
  <c r="B1498" i="18" s="1"/>
  <c r="A1499" i="18"/>
  <c r="B1499" i="18" s="1"/>
  <c r="A1500" i="18"/>
  <c r="B1500" i="18" s="1"/>
  <c r="A1501" i="18"/>
  <c r="B1501" i="18" s="1"/>
  <c r="A1502" i="18"/>
  <c r="B1502" i="18" s="1"/>
  <c r="A1503" i="18"/>
  <c r="B1503" i="18" s="1"/>
  <c r="A1504" i="18"/>
  <c r="B1504" i="18" s="1"/>
  <c r="A1505" i="18"/>
  <c r="B1505" i="18" s="1"/>
  <c r="A1506" i="18"/>
  <c r="B1506" i="18" s="1"/>
  <c r="A1507" i="18"/>
  <c r="B1507" i="18" s="1"/>
  <c r="A1508" i="18"/>
  <c r="B1508" i="18" s="1"/>
  <c r="A1509" i="18"/>
  <c r="B1509" i="18" s="1"/>
  <c r="A1510" i="18"/>
  <c r="B1510" i="18" s="1"/>
  <c r="A1511" i="18"/>
  <c r="B1511" i="18" s="1"/>
  <c r="A1512" i="18"/>
  <c r="B1512" i="18" s="1"/>
  <c r="A1513" i="18"/>
  <c r="B1513" i="18" s="1"/>
  <c r="A1514" i="18"/>
  <c r="B1514" i="18" s="1"/>
  <c r="A1515" i="18"/>
  <c r="B1515" i="18" s="1"/>
  <c r="A1516" i="18"/>
  <c r="B1516" i="18" s="1"/>
  <c r="A1517" i="18"/>
  <c r="B1517" i="18" s="1"/>
  <c r="A1518" i="18"/>
  <c r="B1518" i="18" s="1"/>
  <c r="A1519" i="18"/>
  <c r="B1519" i="18" s="1"/>
  <c r="A1520" i="18"/>
  <c r="B1520" i="18" s="1"/>
  <c r="A1521" i="18"/>
  <c r="B1521" i="18" s="1"/>
  <c r="A1522" i="18"/>
  <c r="B1522" i="18" s="1"/>
  <c r="A1523" i="18"/>
  <c r="B1523" i="18" s="1"/>
  <c r="A1524" i="18"/>
  <c r="B1524" i="18" s="1"/>
  <c r="A1525" i="18"/>
  <c r="B1525" i="18" s="1"/>
  <c r="A1526" i="18"/>
  <c r="B1526" i="18" s="1"/>
  <c r="A1527" i="18"/>
  <c r="B1527" i="18" s="1"/>
  <c r="A1528" i="18"/>
  <c r="B1528" i="18" s="1"/>
  <c r="A1529" i="18"/>
  <c r="B1529" i="18" s="1"/>
  <c r="A1530" i="18"/>
  <c r="B1530" i="18" s="1"/>
  <c r="A1531" i="18"/>
  <c r="B1531" i="18" s="1"/>
  <c r="A1532" i="18"/>
  <c r="B1532" i="18" s="1"/>
  <c r="A1533" i="18"/>
  <c r="B1533" i="18" s="1"/>
  <c r="A1534" i="18"/>
  <c r="B1534" i="18" s="1"/>
  <c r="A1535" i="18"/>
  <c r="B1535" i="18" s="1"/>
  <c r="A1536" i="18"/>
  <c r="B1536" i="18" s="1"/>
  <c r="A1537" i="18"/>
  <c r="B1537" i="18" s="1"/>
  <c r="A1538" i="18"/>
  <c r="B1538" i="18" s="1"/>
  <c r="A1539" i="18"/>
  <c r="B1539" i="18" s="1"/>
  <c r="A1540" i="18"/>
  <c r="B1540" i="18" s="1"/>
  <c r="A1541" i="18"/>
  <c r="B1541" i="18" s="1"/>
  <c r="A1542" i="18"/>
  <c r="B1542" i="18" s="1"/>
  <c r="A1543" i="18"/>
  <c r="B1543" i="18" s="1"/>
  <c r="A1544" i="18"/>
  <c r="B1544" i="18" s="1"/>
  <c r="A1545" i="18"/>
  <c r="B1545" i="18" s="1"/>
  <c r="A1546" i="18"/>
  <c r="B1546" i="18" s="1"/>
  <c r="A1547" i="18"/>
  <c r="B1547" i="18" s="1"/>
  <c r="A1548" i="18"/>
  <c r="B1548" i="18" s="1"/>
  <c r="A1549" i="18"/>
  <c r="B1549" i="18" s="1"/>
  <c r="A1550" i="18"/>
  <c r="B1550" i="18" s="1"/>
  <c r="A1551" i="18"/>
  <c r="B1551" i="18" s="1"/>
  <c r="A1552" i="18"/>
  <c r="B1552" i="18" s="1"/>
  <c r="A1553" i="18"/>
  <c r="B1553" i="18" s="1"/>
  <c r="A1554" i="18"/>
  <c r="B1554" i="18" s="1"/>
  <c r="A1555" i="18"/>
  <c r="B1555" i="18" s="1"/>
  <c r="A1556" i="18"/>
  <c r="B1556" i="18" s="1"/>
  <c r="A1557" i="18"/>
  <c r="B1557" i="18" s="1"/>
  <c r="A1558" i="18"/>
  <c r="B1558" i="18" s="1"/>
  <c r="A1559" i="18"/>
  <c r="B1559" i="18" s="1"/>
  <c r="A1560" i="18"/>
  <c r="B1560" i="18" s="1"/>
  <c r="A1561" i="18"/>
  <c r="B1561" i="18" s="1"/>
  <c r="A1562" i="18"/>
  <c r="B1562" i="18" s="1"/>
  <c r="A1563" i="18"/>
  <c r="B1563" i="18" s="1"/>
  <c r="A1564" i="18"/>
  <c r="B1564" i="18" s="1"/>
  <c r="A1565" i="18"/>
  <c r="B1565" i="18" s="1"/>
  <c r="A1566" i="18"/>
  <c r="B1566" i="18" s="1"/>
  <c r="A1567" i="18"/>
  <c r="B1567" i="18" s="1"/>
  <c r="A1568" i="18"/>
  <c r="B1568" i="18" s="1"/>
  <c r="A1569" i="18"/>
  <c r="B1569" i="18" s="1"/>
  <c r="A1570" i="18"/>
  <c r="B1570" i="18" s="1"/>
  <c r="A1571" i="18"/>
  <c r="B1571" i="18" s="1"/>
  <c r="A1572" i="18"/>
  <c r="B1572" i="18" s="1"/>
  <c r="A1573" i="18"/>
  <c r="B1573" i="18" s="1"/>
  <c r="A1574" i="18"/>
  <c r="B1574" i="18" s="1"/>
  <c r="A1575" i="18"/>
  <c r="B1575" i="18" s="1"/>
  <c r="A1576" i="18"/>
  <c r="B1576" i="18" s="1"/>
  <c r="A1577" i="18"/>
  <c r="B1577" i="18" s="1"/>
  <c r="A1578" i="18"/>
  <c r="B1578" i="18" s="1"/>
  <c r="A1579" i="18"/>
  <c r="B1579" i="18" s="1"/>
  <c r="A1580" i="18"/>
  <c r="B1580" i="18" s="1"/>
  <c r="A1581" i="18"/>
  <c r="B1581" i="18" s="1"/>
  <c r="A1582" i="18"/>
  <c r="B1582" i="18" s="1"/>
  <c r="A1583" i="18"/>
  <c r="B1583" i="18" s="1"/>
  <c r="A1584" i="18"/>
  <c r="B1584" i="18" s="1"/>
  <c r="A1585" i="18"/>
  <c r="B1585" i="18" s="1"/>
  <c r="A1586" i="18"/>
  <c r="B1586" i="18" s="1"/>
  <c r="A1587" i="18"/>
  <c r="B1587" i="18" s="1"/>
  <c r="A1588" i="18"/>
  <c r="B1588" i="18" s="1"/>
  <c r="A1589" i="18"/>
  <c r="B1589" i="18" s="1"/>
  <c r="A1590" i="18"/>
  <c r="B1590" i="18" s="1"/>
  <c r="A1591" i="18"/>
  <c r="B1591" i="18" s="1"/>
  <c r="A1592" i="18"/>
  <c r="B1592" i="18" s="1"/>
  <c r="A1593" i="18"/>
  <c r="B1593" i="18" s="1"/>
  <c r="A1594" i="18"/>
  <c r="B1594" i="18" s="1"/>
  <c r="A1595" i="18"/>
  <c r="B1595" i="18" s="1"/>
  <c r="A1596" i="18"/>
  <c r="B1596" i="18" s="1"/>
  <c r="A1597" i="18"/>
  <c r="B1597" i="18" s="1"/>
  <c r="A1598" i="18"/>
  <c r="B1598" i="18" s="1"/>
  <c r="A1599" i="18"/>
  <c r="B1599" i="18" s="1"/>
  <c r="A1600" i="18"/>
  <c r="B1600" i="18" s="1"/>
  <c r="A1601" i="18"/>
  <c r="B1601" i="18" s="1"/>
  <c r="A1602" i="18"/>
  <c r="B1602" i="18" s="1"/>
  <c r="A1603" i="18"/>
  <c r="B1603" i="18" s="1"/>
  <c r="A1604" i="18"/>
  <c r="B1604" i="18" s="1"/>
  <c r="A1605" i="18"/>
  <c r="B1605" i="18" s="1"/>
  <c r="A1606" i="18"/>
  <c r="B1606" i="18" s="1"/>
  <c r="A1607" i="18"/>
  <c r="B1607" i="18" s="1"/>
  <c r="A1608" i="18"/>
  <c r="B1608" i="18" s="1"/>
  <c r="A1609" i="18"/>
  <c r="B1609" i="18" s="1"/>
  <c r="A1610" i="18"/>
  <c r="B1610" i="18" s="1"/>
  <c r="A1611" i="18"/>
  <c r="B1611" i="18" s="1"/>
  <c r="A1612" i="18"/>
  <c r="B1612" i="18" s="1"/>
  <c r="A1613" i="18"/>
  <c r="B1613" i="18" s="1"/>
  <c r="A1614" i="18"/>
  <c r="B1614" i="18" s="1"/>
  <c r="A1615" i="18"/>
  <c r="B1615" i="18" s="1"/>
  <c r="A1616" i="18"/>
  <c r="B1616" i="18" s="1"/>
  <c r="A1617" i="18"/>
  <c r="B1617" i="18" s="1"/>
  <c r="A1618" i="18"/>
  <c r="B1618" i="18" s="1"/>
  <c r="A1619" i="18"/>
  <c r="B1619" i="18" s="1"/>
  <c r="A1620" i="18"/>
  <c r="B1620" i="18" s="1"/>
  <c r="A1621" i="18"/>
  <c r="B1621" i="18" s="1"/>
  <c r="A1622" i="18"/>
  <c r="B1622" i="18" s="1"/>
  <c r="A1623" i="18"/>
  <c r="B1623" i="18" s="1"/>
  <c r="A1624" i="18"/>
  <c r="B1624" i="18" s="1"/>
  <c r="A1625" i="18"/>
  <c r="B1625" i="18" s="1"/>
  <c r="A1626" i="18"/>
  <c r="B1626" i="18" s="1"/>
  <c r="A1627" i="18"/>
  <c r="B1627" i="18" s="1"/>
  <c r="A1628" i="18"/>
  <c r="B1628" i="18" s="1"/>
  <c r="A1629" i="18"/>
  <c r="B1629" i="18" s="1"/>
  <c r="A1630" i="18"/>
  <c r="B1630" i="18" s="1"/>
  <c r="A1631" i="18"/>
  <c r="B1631" i="18" s="1"/>
  <c r="A1632" i="18"/>
  <c r="B1632" i="18" s="1"/>
  <c r="A1633" i="18"/>
  <c r="B1633" i="18" s="1"/>
  <c r="A1634" i="18"/>
  <c r="B1634" i="18" s="1"/>
  <c r="A1635" i="18"/>
  <c r="B1635" i="18" s="1"/>
  <c r="A1636" i="18"/>
  <c r="B1636" i="18" s="1"/>
  <c r="A1637" i="18"/>
  <c r="B1637" i="18" s="1"/>
  <c r="A1638" i="18"/>
  <c r="B1638" i="18" s="1"/>
  <c r="A1639" i="18"/>
  <c r="B1639" i="18" s="1"/>
  <c r="A1640" i="18"/>
  <c r="B1640" i="18" s="1"/>
  <c r="A1641" i="18"/>
  <c r="B1641" i="18" s="1"/>
  <c r="A1642" i="18"/>
  <c r="B1642" i="18" s="1"/>
  <c r="A1643" i="18"/>
  <c r="B1643" i="18" s="1"/>
  <c r="A1644" i="18"/>
  <c r="B1644" i="18" s="1"/>
  <c r="A1645" i="18"/>
  <c r="B1645" i="18" s="1"/>
  <c r="A1646" i="18"/>
  <c r="B1646" i="18" s="1"/>
  <c r="A1647" i="18"/>
  <c r="B1647" i="18" s="1"/>
  <c r="A1648" i="18"/>
  <c r="B1648" i="18" s="1"/>
  <c r="A1649" i="18"/>
  <c r="B1649" i="18" s="1"/>
  <c r="A1650" i="18"/>
  <c r="B1650" i="18" s="1"/>
  <c r="A1651" i="18"/>
  <c r="B1651" i="18" s="1"/>
  <c r="A1652" i="18"/>
  <c r="B1652" i="18" s="1"/>
  <c r="A1653" i="18"/>
  <c r="B1653" i="18" s="1"/>
  <c r="A1654" i="18"/>
  <c r="B1654" i="18" s="1"/>
  <c r="A1655" i="18"/>
  <c r="B1655" i="18" s="1"/>
  <c r="A1656" i="18"/>
  <c r="B1656" i="18" s="1"/>
  <c r="A1657" i="18"/>
  <c r="B1657" i="18" s="1"/>
  <c r="A1658" i="18"/>
  <c r="B1658" i="18" s="1"/>
  <c r="A1659" i="18"/>
  <c r="B1659" i="18" s="1"/>
  <c r="A1660" i="18"/>
  <c r="B1660" i="18" s="1"/>
  <c r="A1661" i="18"/>
  <c r="B1661" i="18" s="1"/>
  <c r="A1662" i="18"/>
  <c r="B1662" i="18" s="1"/>
  <c r="A1663" i="18"/>
  <c r="B1663" i="18" s="1"/>
  <c r="A1664" i="18"/>
  <c r="B1664" i="18" s="1"/>
  <c r="A1665" i="18"/>
  <c r="B1665" i="18" s="1"/>
  <c r="A1666" i="18"/>
  <c r="B1666" i="18" s="1"/>
  <c r="A1667" i="18"/>
  <c r="B1667" i="18" s="1"/>
  <c r="A1668" i="18"/>
  <c r="B1668" i="18" s="1"/>
  <c r="A1669" i="18"/>
  <c r="B1669" i="18" s="1"/>
  <c r="A1670" i="18"/>
  <c r="B1670" i="18" s="1"/>
  <c r="A1671" i="18"/>
  <c r="B1671" i="18" s="1"/>
  <c r="A1672" i="18"/>
  <c r="B1672" i="18" s="1"/>
  <c r="A1673" i="18"/>
  <c r="B1673" i="18" s="1"/>
  <c r="A1674" i="18"/>
  <c r="B1674" i="18" s="1"/>
  <c r="A1675" i="18"/>
  <c r="B1675" i="18" s="1"/>
  <c r="A1676" i="18"/>
  <c r="B1676" i="18" s="1"/>
  <c r="A1677" i="18"/>
  <c r="B1677" i="18" s="1"/>
  <c r="A1678" i="18"/>
  <c r="B1678" i="18" s="1"/>
  <c r="A1679" i="18"/>
  <c r="B1679" i="18" s="1"/>
  <c r="A1680" i="18"/>
  <c r="B1680" i="18" s="1"/>
  <c r="A1681" i="18"/>
  <c r="B1681" i="18" s="1"/>
  <c r="A1682" i="18"/>
  <c r="B1682" i="18" s="1"/>
  <c r="A1683" i="18"/>
  <c r="B1683" i="18" s="1"/>
  <c r="A1684" i="18"/>
  <c r="B1684" i="18" s="1"/>
  <c r="A1685" i="18"/>
  <c r="B1685" i="18" s="1"/>
  <c r="A1686" i="18"/>
  <c r="B1686" i="18" s="1"/>
  <c r="A1687" i="18"/>
  <c r="B1687" i="18" s="1"/>
  <c r="A1688" i="18"/>
  <c r="B1688" i="18" s="1"/>
  <c r="A1689" i="18"/>
  <c r="B1689" i="18" s="1"/>
  <c r="A1690" i="18"/>
  <c r="B1690" i="18" s="1"/>
  <c r="A1691" i="18"/>
  <c r="B1691" i="18" s="1"/>
  <c r="A1692" i="18"/>
  <c r="B1692" i="18" s="1"/>
  <c r="A1693" i="18"/>
  <c r="B1693" i="18" s="1"/>
  <c r="A1694" i="18"/>
  <c r="B1694" i="18" s="1"/>
  <c r="A1695" i="18"/>
  <c r="B1695" i="18" s="1"/>
  <c r="A1696" i="18"/>
  <c r="B1696" i="18" s="1"/>
  <c r="A1697" i="18"/>
  <c r="B1697" i="18" s="1"/>
  <c r="A1698" i="18"/>
  <c r="B1698" i="18" s="1"/>
  <c r="A1699" i="18"/>
  <c r="B1699" i="18" s="1"/>
  <c r="A1700" i="18"/>
  <c r="B1700" i="18" s="1"/>
  <c r="A1701" i="18"/>
  <c r="B1701" i="18" s="1"/>
  <c r="A1702" i="18"/>
  <c r="B1702" i="18" s="1"/>
  <c r="A1703" i="18"/>
  <c r="B1703" i="18" s="1"/>
  <c r="A1704" i="18"/>
  <c r="B1704" i="18" s="1"/>
  <c r="A1705" i="18"/>
  <c r="B1705" i="18" s="1"/>
  <c r="A1706" i="18"/>
  <c r="B1706" i="18" s="1"/>
  <c r="A1707" i="18"/>
  <c r="B1707" i="18" s="1"/>
  <c r="A1708" i="18"/>
  <c r="B1708" i="18" s="1"/>
  <c r="A1709" i="18"/>
  <c r="B1709" i="18" s="1"/>
  <c r="A1710" i="18"/>
  <c r="B1710" i="18" s="1"/>
  <c r="A1711" i="18"/>
  <c r="B1711" i="18" s="1"/>
  <c r="A1712" i="18"/>
  <c r="B1712" i="18" s="1"/>
  <c r="A1713" i="18"/>
  <c r="B1713" i="18" s="1"/>
  <c r="A1714" i="18"/>
  <c r="B1714" i="18" s="1"/>
  <c r="A1715" i="18"/>
  <c r="B1715" i="18" s="1"/>
  <c r="A1716" i="18"/>
  <c r="B1716" i="18" s="1"/>
  <c r="A1717" i="18"/>
  <c r="B1717" i="18" s="1"/>
  <c r="A1718" i="18"/>
  <c r="B1718" i="18" s="1"/>
  <c r="A1719" i="18"/>
  <c r="B1719" i="18" s="1"/>
  <c r="A1720" i="18"/>
  <c r="B1720" i="18" s="1"/>
  <c r="A1721" i="18"/>
  <c r="B1721" i="18" s="1"/>
  <c r="A1722" i="18"/>
  <c r="B1722" i="18" s="1"/>
  <c r="A1723" i="18"/>
  <c r="B1723" i="18" s="1"/>
  <c r="A1724" i="18"/>
  <c r="B1724" i="18" s="1"/>
  <c r="A1725" i="18"/>
  <c r="B1725" i="18" s="1"/>
  <c r="A1726" i="18"/>
  <c r="B1726" i="18" s="1"/>
  <c r="A1727" i="18"/>
  <c r="B1727" i="18" s="1"/>
  <c r="A1728" i="18"/>
  <c r="B1728" i="18" s="1"/>
  <c r="A1729" i="18"/>
  <c r="B1729" i="18" s="1"/>
  <c r="A1730" i="18"/>
  <c r="B1730" i="18" s="1"/>
  <c r="A1731" i="18"/>
  <c r="B1731" i="18" s="1"/>
  <c r="A1732" i="18"/>
  <c r="B1732" i="18" s="1"/>
  <c r="A1733" i="18"/>
  <c r="B1733" i="18" s="1"/>
  <c r="A1734" i="18"/>
  <c r="B1734" i="18" s="1"/>
  <c r="A1735" i="18"/>
  <c r="B1735" i="18" s="1"/>
  <c r="A1736" i="18"/>
  <c r="B1736" i="18" s="1"/>
  <c r="A1737" i="18"/>
  <c r="B1737" i="18" s="1"/>
  <c r="A1738" i="18"/>
  <c r="B1738" i="18" s="1"/>
  <c r="A1739" i="18"/>
  <c r="B1739" i="18" s="1"/>
  <c r="A1740" i="18"/>
  <c r="B1740" i="18" s="1"/>
  <c r="A1741" i="18"/>
  <c r="B1741" i="18" s="1"/>
  <c r="A1742" i="18"/>
  <c r="B1742" i="18" s="1"/>
  <c r="A1743" i="18"/>
  <c r="B1743" i="18" s="1"/>
  <c r="A1744" i="18"/>
  <c r="B1744" i="18" s="1"/>
  <c r="A1745" i="18"/>
  <c r="B1745" i="18" s="1"/>
  <c r="A1746" i="18"/>
  <c r="B1746" i="18" s="1"/>
  <c r="A1747" i="18"/>
  <c r="B1747" i="18" s="1"/>
  <c r="A1748" i="18"/>
  <c r="B1748" i="18" s="1"/>
  <c r="A1749" i="18"/>
  <c r="B1749" i="18" s="1"/>
  <c r="A1750" i="18"/>
  <c r="B1750" i="18" s="1"/>
  <c r="A1751" i="18"/>
  <c r="B1751" i="18" s="1"/>
  <c r="A1752" i="18"/>
  <c r="B1752" i="18" s="1"/>
  <c r="A1753" i="18"/>
  <c r="B1753" i="18" s="1"/>
  <c r="A1754" i="18"/>
  <c r="B1754" i="18" s="1"/>
  <c r="A1755" i="18"/>
  <c r="B1755" i="18" s="1"/>
  <c r="A1756" i="18"/>
  <c r="B1756" i="18" s="1"/>
  <c r="A1757" i="18"/>
  <c r="B1757" i="18" s="1"/>
  <c r="A1758" i="18"/>
  <c r="B1758" i="18" s="1"/>
  <c r="A1759" i="18"/>
  <c r="B1759" i="18" s="1"/>
  <c r="A1760" i="18"/>
  <c r="B1760" i="18" s="1"/>
  <c r="A1761" i="18"/>
  <c r="B1761" i="18" s="1"/>
  <c r="A1762" i="18"/>
  <c r="B1762" i="18" s="1"/>
  <c r="A1763" i="18"/>
  <c r="B1763" i="18" s="1"/>
  <c r="A1764" i="18"/>
  <c r="B1764" i="18" s="1"/>
  <c r="A1765" i="18"/>
  <c r="B1765" i="18" s="1"/>
  <c r="A1766" i="18"/>
  <c r="B1766" i="18" s="1"/>
  <c r="A1767" i="18"/>
  <c r="B1767" i="18" s="1"/>
  <c r="A1768" i="18"/>
  <c r="B1768" i="18" s="1"/>
  <c r="A1769" i="18"/>
  <c r="B1769" i="18" s="1"/>
  <c r="A1770" i="18"/>
  <c r="B1770" i="18" s="1"/>
  <c r="A1771" i="18"/>
  <c r="B1771" i="18" s="1"/>
  <c r="A1772" i="18"/>
  <c r="B1772" i="18" s="1"/>
  <c r="A1773" i="18"/>
  <c r="B1773" i="18" s="1"/>
  <c r="A1774" i="18"/>
  <c r="B1774" i="18" s="1"/>
  <c r="A1775" i="18"/>
  <c r="B1775" i="18" s="1"/>
  <c r="A1776" i="18"/>
  <c r="B1776" i="18" s="1"/>
  <c r="A1777" i="18"/>
  <c r="B1777" i="18" s="1"/>
  <c r="A1778" i="18"/>
  <c r="B1778" i="18" s="1"/>
  <c r="A1779" i="18"/>
  <c r="B1779" i="18" s="1"/>
  <c r="A1780" i="18"/>
  <c r="B1780" i="18" s="1"/>
  <c r="A1781" i="18"/>
  <c r="B1781" i="18" s="1"/>
  <c r="A1782" i="18"/>
  <c r="B1782" i="18" s="1"/>
  <c r="A1783" i="18"/>
  <c r="B1783" i="18" s="1"/>
  <c r="A1784" i="18"/>
  <c r="B1784" i="18" s="1"/>
  <c r="A1785" i="18"/>
  <c r="B1785" i="18" s="1"/>
  <c r="A1786" i="18"/>
  <c r="B1786" i="18" s="1"/>
  <c r="A1787" i="18"/>
  <c r="B1787" i="18" s="1"/>
  <c r="A1788" i="18"/>
  <c r="B1788" i="18" s="1"/>
  <c r="A1789" i="18"/>
  <c r="B1789" i="18" s="1"/>
  <c r="A1790" i="18"/>
  <c r="B1790" i="18" s="1"/>
  <c r="A1791" i="18"/>
  <c r="B1791" i="18" s="1"/>
  <c r="A1792" i="18"/>
  <c r="B1792" i="18" s="1"/>
  <c r="A1793" i="18"/>
  <c r="B1793" i="18" s="1"/>
  <c r="A1794" i="18"/>
  <c r="B1794" i="18" s="1"/>
  <c r="A1795" i="18"/>
  <c r="B1795" i="18" s="1"/>
  <c r="A1796" i="18"/>
  <c r="B1796" i="18" s="1"/>
  <c r="A1797" i="18"/>
  <c r="B1797" i="18" s="1"/>
  <c r="A1798" i="18"/>
  <c r="B1798" i="18" s="1"/>
  <c r="A1799" i="18"/>
  <c r="B1799" i="18" s="1"/>
  <c r="A1800" i="18"/>
  <c r="B1800" i="18" s="1"/>
  <c r="A1801" i="18"/>
  <c r="B1801" i="18" s="1"/>
  <c r="A1802" i="18"/>
  <c r="B1802" i="18" s="1"/>
  <c r="A1803" i="18"/>
  <c r="B1803" i="18" s="1"/>
  <c r="A1804" i="18"/>
  <c r="B1804" i="18" s="1"/>
  <c r="A1805" i="18"/>
  <c r="B1805" i="18" s="1"/>
  <c r="A1806" i="18"/>
  <c r="B1806" i="18" s="1"/>
  <c r="A1807" i="18"/>
  <c r="B1807" i="18" s="1"/>
  <c r="A1808" i="18"/>
  <c r="B1808" i="18" s="1"/>
  <c r="A1809" i="18"/>
  <c r="B1809" i="18" s="1"/>
  <c r="A1810" i="18"/>
  <c r="B1810" i="18" s="1"/>
  <c r="A1811" i="18"/>
  <c r="B1811" i="18" s="1"/>
  <c r="A1812" i="18"/>
  <c r="B1812" i="18" s="1"/>
  <c r="A1813" i="18"/>
  <c r="B1813" i="18" s="1"/>
  <c r="A1814" i="18"/>
  <c r="B1814" i="18" s="1"/>
  <c r="A1815" i="18"/>
  <c r="B1815" i="18" s="1"/>
  <c r="A1816" i="18"/>
  <c r="B1816" i="18" s="1"/>
  <c r="A1817" i="18"/>
  <c r="B1817" i="18" s="1"/>
  <c r="A1818" i="18"/>
  <c r="B1818" i="18" s="1"/>
  <c r="A1819" i="18"/>
  <c r="B1819" i="18" s="1"/>
  <c r="A1820" i="18"/>
  <c r="B1820" i="18" s="1"/>
  <c r="A1821" i="18"/>
  <c r="B1821" i="18" s="1"/>
  <c r="A1822" i="18"/>
  <c r="B1822" i="18" s="1"/>
  <c r="A1823" i="18"/>
  <c r="B1823" i="18" s="1"/>
  <c r="A1824" i="18"/>
  <c r="B1824" i="18" s="1"/>
  <c r="A1825" i="18"/>
  <c r="B1825" i="18" s="1"/>
  <c r="A1826" i="18"/>
  <c r="B1826" i="18" s="1"/>
  <c r="A1827" i="18"/>
  <c r="B1827" i="18" s="1"/>
  <c r="A1828" i="18"/>
  <c r="B1828" i="18" s="1"/>
  <c r="A1829" i="18"/>
  <c r="B1829" i="18" s="1"/>
  <c r="A1830" i="18"/>
  <c r="B1830" i="18" s="1"/>
  <c r="A1831" i="18"/>
  <c r="B1831" i="18" s="1"/>
  <c r="A1832" i="18"/>
  <c r="B1832" i="18" s="1"/>
  <c r="A1833" i="18"/>
  <c r="B1833" i="18" s="1"/>
  <c r="A1834" i="18"/>
  <c r="B1834" i="18" s="1"/>
  <c r="A1835" i="18"/>
  <c r="B1835" i="18" s="1"/>
  <c r="A1836" i="18"/>
  <c r="B1836" i="18" s="1"/>
  <c r="A1837" i="18"/>
  <c r="B1837" i="18" s="1"/>
  <c r="A1838" i="18"/>
  <c r="B1838" i="18" s="1"/>
  <c r="A1839" i="18"/>
  <c r="B1839" i="18" s="1"/>
  <c r="A1840" i="18"/>
  <c r="B1840" i="18" s="1"/>
  <c r="A1841" i="18"/>
  <c r="B1841" i="18" s="1"/>
  <c r="A1842" i="18"/>
  <c r="B1842" i="18" s="1"/>
  <c r="A1843" i="18"/>
  <c r="B1843" i="18" s="1"/>
  <c r="A1844" i="18"/>
  <c r="B1844" i="18" s="1"/>
  <c r="A1845" i="18"/>
  <c r="B1845" i="18" s="1"/>
  <c r="A1846" i="18"/>
  <c r="B1846" i="18" s="1"/>
  <c r="A1847" i="18"/>
  <c r="B1847" i="18" s="1"/>
  <c r="A1848" i="18"/>
  <c r="B1848" i="18" s="1"/>
  <c r="A1849" i="18"/>
  <c r="B1849" i="18" s="1"/>
  <c r="A1850" i="18"/>
  <c r="B1850" i="18" s="1"/>
  <c r="A1851" i="18"/>
  <c r="B1851" i="18" s="1"/>
  <c r="A1852" i="18"/>
  <c r="B1852" i="18" s="1"/>
  <c r="A1853" i="18"/>
  <c r="B1853" i="18" s="1"/>
  <c r="A1854" i="18"/>
  <c r="B1854" i="18" s="1"/>
  <c r="A1855" i="18"/>
  <c r="B1855" i="18" s="1"/>
  <c r="A1856" i="18"/>
  <c r="B1856" i="18" s="1"/>
  <c r="A1857" i="18"/>
  <c r="B1857" i="18" s="1"/>
  <c r="A1858" i="18"/>
  <c r="B1858" i="18" s="1"/>
  <c r="A1859" i="18"/>
  <c r="B1859" i="18" s="1"/>
  <c r="A1860" i="18"/>
  <c r="B1860" i="18" s="1"/>
  <c r="A1861" i="18"/>
  <c r="B1861" i="18" s="1"/>
  <c r="A1862" i="18"/>
  <c r="B1862" i="18" s="1"/>
  <c r="A1863" i="18"/>
  <c r="B1863" i="18" s="1"/>
  <c r="A1864" i="18"/>
  <c r="B1864" i="18" s="1"/>
  <c r="A1865" i="18"/>
  <c r="B1865" i="18" s="1"/>
  <c r="A1866" i="18"/>
  <c r="B1866" i="18" s="1"/>
  <c r="A1867" i="18"/>
  <c r="B1867" i="18" s="1"/>
  <c r="A1868" i="18"/>
  <c r="B1868" i="18" s="1"/>
  <c r="A1869" i="18"/>
  <c r="B1869" i="18" s="1"/>
  <c r="A1870" i="18"/>
  <c r="B1870" i="18" s="1"/>
  <c r="A1871" i="18"/>
  <c r="B1871" i="18" s="1"/>
  <c r="A1872" i="18"/>
  <c r="B1872" i="18" s="1"/>
  <c r="A1873" i="18"/>
  <c r="B1873" i="18" s="1"/>
  <c r="A1874" i="18"/>
  <c r="B1874" i="18" s="1"/>
  <c r="A1875" i="18"/>
  <c r="B1875" i="18" s="1"/>
  <c r="A1876" i="18"/>
  <c r="B1876" i="18" s="1"/>
  <c r="A1877" i="18"/>
  <c r="B1877" i="18" s="1"/>
  <c r="A1878" i="18"/>
  <c r="B1878" i="18" s="1"/>
  <c r="A1879" i="18"/>
  <c r="B1879" i="18" s="1"/>
  <c r="A1880" i="18"/>
  <c r="B1880" i="18" s="1"/>
  <c r="A1881" i="18"/>
  <c r="B1881" i="18" s="1"/>
  <c r="A1882" i="18"/>
  <c r="B1882" i="18" s="1"/>
  <c r="A1883" i="18"/>
  <c r="B1883" i="18" s="1"/>
  <c r="A1884" i="18"/>
  <c r="B1884" i="18" s="1"/>
  <c r="A1885" i="18"/>
  <c r="B1885" i="18" s="1"/>
  <c r="A1886" i="18"/>
  <c r="B1886" i="18" s="1"/>
  <c r="A1887" i="18"/>
  <c r="B1887" i="18" s="1"/>
  <c r="A1888" i="18"/>
  <c r="B1888" i="18" s="1"/>
  <c r="A1889" i="18"/>
  <c r="B1889" i="18" s="1"/>
  <c r="A1890" i="18"/>
  <c r="B1890" i="18" s="1"/>
  <c r="A1891" i="18"/>
  <c r="B1891" i="18" s="1"/>
  <c r="A1892" i="18"/>
  <c r="B1892" i="18" s="1"/>
  <c r="A1893" i="18"/>
  <c r="B1893" i="18" s="1"/>
  <c r="A1894" i="18"/>
  <c r="B1894" i="18" s="1"/>
  <c r="A1895" i="18"/>
  <c r="B1895" i="18" s="1"/>
  <c r="A1896" i="18"/>
  <c r="B1896" i="18" s="1"/>
  <c r="A1897" i="18"/>
  <c r="B1897" i="18" s="1"/>
  <c r="A1898" i="18"/>
  <c r="B1898" i="18" s="1"/>
  <c r="A1899" i="18"/>
  <c r="B1899" i="18" s="1"/>
  <c r="A1900" i="18"/>
  <c r="B1900" i="18" s="1"/>
  <c r="A1901" i="18"/>
  <c r="B1901" i="18" s="1"/>
  <c r="A1902" i="18"/>
  <c r="B1902" i="18" s="1"/>
  <c r="A1903" i="18"/>
  <c r="B1903" i="18" s="1"/>
  <c r="A1904" i="18"/>
  <c r="B1904" i="18" s="1"/>
  <c r="A1905" i="18"/>
  <c r="B1905" i="18" s="1"/>
  <c r="A1906" i="18"/>
  <c r="B1906" i="18" s="1"/>
  <c r="A1907" i="18"/>
  <c r="B1907" i="18" s="1"/>
  <c r="A1908" i="18"/>
  <c r="B1908" i="18" s="1"/>
  <c r="A1909" i="18"/>
  <c r="B1909" i="18" s="1"/>
  <c r="A1910" i="18"/>
  <c r="B1910" i="18" s="1"/>
  <c r="A1911" i="18"/>
  <c r="B1911" i="18" s="1"/>
  <c r="A1912" i="18"/>
  <c r="B1912" i="18" s="1"/>
  <c r="A1913" i="18"/>
  <c r="B1913" i="18" s="1"/>
  <c r="A1914" i="18"/>
  <c r="B1914" i="18" s="1"/>
  <c r="A1915" i="18"/>
  <c r="B1915" i="18" s="1"/>
  <c r="A1916" i="18"/>
  <c r="B1916" i="18" s="1"/>
  <c r="A1917" i="18"/>
  <c r="B1917" i="18" s="1"/>
  <c r="A1918" i="18"/>
  <c r="B1918" i="18" s="1"/>
  <c r="A1919" i="18"/>
  <c r="B1919" i="18" s="1"/>
  <c r="A1920" i="18"/>
  <c r="B1920" i="18" s="1"/>
  <c r="A1921" i="18"/>
  <c r="B1921" i="18" s="1"/>
  <c r="A1922" i="18"/>
  <c r="B1922" i="18" s="1"/>
  <c r="A1923" i="18"/>
  <c r="B1923" i="18" s="1"/>
  <c r="A1924" i="18"/>
  <c r="B1924" i="18" s="1"/>
  <c r="A1925" i="18"/>
  <c r="B1925" i="18" s="1"/>
  <c r="A1926" i="18"/>
  <c r="B1926" i="18" s="1"/>
  <c r="A1927" i="18"/>
  <c r="B1927" i="18" s="1"/>
  <c r="A1928" i="18"/>
  <c r="B1928" i="18" s="1"/>
  <c r="A1929" i="18"/>
  <c r="B1929" i="18" s="1"/>
  <c r="A1930" i="18"/>
  <c r="B1930" i="18" s="1"/>
  <c r="A1931" i="18"/>
  <c r="B1931" i="18" s="1"/>
  <c r="A1932" i="18"/>
  <c r="B1932" i="18" s="1"/>
  <c r="A1933" i="18"/>
  <c r="B1933" i="18" s="1"/>
  <c r="A1934" i="18"/>
  <c r="B1934" i="18" s="1"/>
  <c r="A1935" i="18"/>
  <c r="B1935" i="18" s="1"/>
  <c r="A1936" i="18"/>
  <c r="B1936" i="18" s="1"/>
  <c r="A1937" i="18"/>
  <c r="B1937" i="18" s="1"/>
  <c r="A1938" i="18"/>
  <c r="B1938" i="18" s="1"/>
  <c r="A1939" i="18"/>
  <c r="B1939" i="18" s="1"/>
  <c r="A1940" i="18"/>
  <c r="B1940" i="18" s="1"/>
  <c r="A1941" i="18"/>
  <c r="B1941" i="18" s="1"/>
  <c r="A1942" i="18"/>
  <c r="B1942" i="18" s="1"/>
  <c r="A1943" i="18"/>
  <c r="B1943" i="18" s="1"/>
  <c r="A1944" i="18"/>
  <c r="B1944" i="18" s="1"/>
  <c r="A1945" i="18"/>
  <c r="B1945" i="18" s="1"/>
  <c r="A1946" i="18"/>
  <c r="B1946" i="18" s="1"/>
  <c r="A1947" i="18"/>
  <c r="B1947" i="18" s="1"/>
  <c r="A1948" i="18"/>
  <c r="B1948" i="18" s="1"/>
  <c r="A1949" i="18"/>
  <c r="B1949" i="18" s="1"/>
  <c r="A1950" i="18"/>
  <c r="B1950" i="18" s="1"/>
  <c r="A1951" i="18"/>
  <c r="B1951" i="18" s="1"/>
  <c r="A1952" i="18"/>
  <c r="B1952" i="18" s="1"/>
  <c r="A1953" i="18"/>
  <c r="B1953" i="18" s="1"/>
  <c r="A1954" i="18"/>
  <c r="B1954" i="18" s="1"/>
  <c r="A1955" i="18"/>
  <c r="B1955" i="18" s="1"/>
  <c r="A1956" i="18"/>
  <c r="B1956" i="18" s="1"/>
  <c r="A1957" i="18"/>
  <c r="B1957" i="18" s="1"/>
  <c r="A1958" i="18"/>
  <c r="B1958" i="18" s="1"/>
  <c r="A1959" i="18"/>
  <c r="B1959" i="18" s="1"/>
  <c r="A1960" i="18"/>
  <c r="B1960" i="18" s="1"/>
  <c r="A1961" i="18"/>
  <c r="B1961" i="18" s="1"/>
  <c r="A1962" i="18"/>
  <c r="B1962" i="18" s="1"/>
  <c r="A1963" i="18"/>
  <c r="B1963" i="18" s="1"/>
  <c r="A1964" i="18"/>
  <c r="B1964" i="18" s="1"/>
  <c r="A1965" i="18"/>
  <c r="B1965" i="18" s="1"/>
  <c r="A1966" i="18"/>
  <c r="B1966" i="18" s="1"/>
  <c r="A1967" i="18"/>
  <c r="B1967" i="18" s="1"/>
  <c r="A1968" i="18"/>
  <c r="B1968" i="18" s="1"/>
  <c r="A1969" i="18"/>
  <c r="B1969" i="18" s="1"/>
  <c r="A1970" i="18"/>
  <c r="B1970" i="18" s="1"/>
  <c r="A1971" i="18"/>
  <c r="B1971" i="18" s="1"/>
  <c r="A1972" i="18"/>
  <c r="B1972" i="18" s="1"/>
  <c r="A1973" i="18"/>
  <c r="B1973" i="18" s="1"/>
  <c r="A1974" i="18"/>
  <c r="B1974" i="18" s="1"/>
  <c r="A1975" i="18"/>
  <c r="B1975" i="18" s="1"/>
  <c r="A1976" i="18"/>
  <c r="B1976" i="18" s="1"/>
  <c r="A1977" i="18"/>
  <c r="B1977" i="18" s="1"/>
  <c r="A1978" i="18"/>
  <c r="B1978" i="18" s="1"/>
  <c r="A1979" i="18"/>
  <c r="B1979" i="18" s="1"/>
  <c r="A1980" i="18"/>
  <c r="B1980" i="18" s="1"/>
  <c r="A1981" i="18"/>
  <c r="B1981" i="18" s="1"/>
  <c r="A1982" i="18"/>
  <c r="B1982" i="18" s="1"/>
  <c r="A1983" i="18"/>
  <c r="B1983" i="18" s="1"/>
  <c r="A1984" i="18"/>
  <c r="B1984" i="18" s="1"/>
  <c r="A1985" i="18"/>
  <c r="B1985" i="18" s="1"/>
  <c r="A1986" i="18"/>
  <c r="B1986" i="18" s="1"/>
  <c r="A1987" i="18"/>
  <c r="B1987" i="18" s="1"/>
  <c r="A1988" i="18"/>
  <c r="B1988" i="18" s="1"/>
  <c r="A1989" i="18"/>
  <c r="B1989" i="18" s="1"/>
  <c r="A1990" i="18"/>
  <c r="B1990" i="18" s="1"/>
  <c r="A1991" i="18"/>
  <c r="B1991" i="18" s="1"/>
  <c r="A1992" i="18"/>
  <c r="B1992" i="18" s="1"/>
  <c r="A1993" i="18"/>
  <c r="B1993" i="18" s="1"/>
  <c r="A1994" i="18"/>
  <c r="B1994" i="18" s="1"/>
  <c r="A1995" i="18"/>
  <c r="B1995" i="18" s="1"/>
  <c r="A1996" i="18"/>
  <c r="B1996" i="18" s="1"/>
  <c r="A1997" i="18"/>
  <c r="B1997" i="18" s="1"/>
  <c r="A1998" i="18"/>
  <c r="B1998" i="18" s="1"/>
  <c r="A1999" i="18"/>
  <c r="B1999" i="18" s="1"/>
  <c r="A2000" i="18"/>
  <c r="B2000" i="18" s="1"/>
  <c r="A2001" i="18"/>
  <c r="B2001" i="18" s="1"/>
  <c r="A2002" i="18"/>
  <c r="B2002" i="18" s="1"/>
  <c r="A2003" i="18"/>
  <c r="B2003" i="18" s="1"/>
  <c r="A2004" i="18"/>
  <c r="B2004" i="18" s="1"/>
  <c r="A2005" i="18"/>
  <c r="B2005" i="18" s="1"/>
  <c r="A2006" i="18"/>
  <c r="B2006" i="18" s="1"/>
  <c r="A2007" i="18"/>
  <c r="B2007" i="18" s="1"/>
  <c r="A2008" i="18"/>
  <c r="B2008" i="18" s="1"/>
  <c r="A2009" i="18"/>
  <c r="B2009" i="18" s="1"/>
  <c r="A2010" i="18"/>
  <c r="B2010" i="18" s="1"/>
  <c r="A2011" i="18"/>
  <c r="B2011" i="18" s="1"/>
  <c r="A2012" i="18"/>
  <c r="B2012" i="18" s="1"/>
  <c r="A2013" i="18"/>
  <c r="B2013" i="18" s="1"/>
  <c r="A2014" i="18"/>
  <c r="B2014" i="18" s="1"/>
  <c r="A2015" i="18"/>
  <c r="B2015" i="18" s="1"/>
  <c r="A2016" i="18"/>
  <c r="B2016" i="18" s="1"/>
  <c r="A2017" i="18"/>
  <c r="B2017" i="18" s="1"/>
  <c r="A2018" i="18"/>
  <c r="B2018" i="18" s="1"/>
  <c r="A2019" i="18"/>
  <c r="B2019" i="18" s="1"/>
  <c r="A2020" i="18"/>
  <c r="B2020" i="18" s="1"/>
  <c r="A2021" i="18"/>
  <c r="B2021" i="18" s="1"/>
  <c r="A2022" i="18"/>
  <c r="B2022" i="18" s="1"/>
  <c r="A2023" i="18"/>
  <c r="B2023" i="18" s="1"/>
  <c r="A2024" i="18"/>
  <c r="B2024" i="18" s="1"/>
  <c r="A2025" i="18"/>
  <c r="B2025" i="18" s="1"/>
  <c r="A2026" i="18"/>
  <c r="B2026" i="18" s="1"/>
  <c r="A2027" i="18"/>
  <c r="B2027" i="18" s="1"/>
  <c r="A2028" i="18"/>
  <c r="B2028" i="18" s="1"/>
  <c r="A2029" i="18"/>
  <c r="B2029" i="18" s="1"/>
  <c r="A2030" i="18"/>
  <c r="B2030" i="18" s="1"/>
  <c r="A2031" i="18"/>
  <c r="B2031" i="18" s="1"/>
  <c r="A2032" i="18"/>
  <c r="B2032" i="18" s="1"/>
  <c r="A2033" i="18"/>
  <c r="B2033" i="18" s="1"/>
  <c r="A2034" i="18"/>
  <c r="B2034" i="18" s="1"/>
  <c r="A2035" i="18"/>
  <c r="B2035" i="18" s="1"/>
  <c r="A2036" i="18"/>
  <c r="B2036" i="18" s="1"/>
  <c r="A2037" i="18"/>
  <c r="B2037" i="18" s="1"/>
  <c r="A2038" i="18"/>
  <c r="B2038" i="18" s="1"/>
  <c r="A2039" i="18"/>
  <c r="B2039" i="18" s="1"/>
  <c r="A2040" i="18"/>
  <c r="B2040" i="18" s="1"/>
  <c r="A2041" i="18"/>
  <c r="B2041" i="18" s="1"/>
  <c r="A2042" i="18"/>
  <c r="B2042" i="18" s="1"/>
  <c r="A2043" i="18"/>
  <c r="B2043" i="18" s="1"/>
  <c r="A2044" i="18"/>
  <c r="B2044" i="18" s="1"/>
  <c r="A2045" i="18"/>
  <c r="B2045" i="18" s="1"/>
  <c r="A2046" i="18"/>
  <c r="B2046" i="18" s="1"/>
  <c r="A2047" i="18"/>
  <c r="B2047" i="18" s="1"/>
  <c r="A2048" i="18"/>
  <c r="B2048" i="18" s="1"/>
  <c r="A2049" i="18"/>
  <c r="B2049" i="18" s="1"/>
  <c r="A2050" i="18"/>
  <c r="B2050" i="18" s="1"/>
  <c r="A2051" i="18"/>
  <c r="B2051" i="18" s="1"/>
  <c r="A2052" i="18"/>
  <c r="B2052" i="18" s="1"/>
  <c r="A2053" i="18"/>
  <c r="B2053" i="18" s="1"/>
  <c r="A2054" i="18"/>
  <c r="B2054" i="18" s="1"/>
  <c r="A2055" i="18"/>
  <c r="B2055" i="18" s="1"/>
  <c r="A2056" i="18"/>
  <c r="B2056" i="18" s="1"/>
  <c r="A2057" i="18"/>
  <c r="B2057" i="18" s="1"/>
  <c r="A2058" i="18"/>
  <c r="B2058" i="18" s="1"/>
  <c r="A2059" i="18"/>
  <c r="B2059" i="18" s="1"/>
  <c r="A2060" i="18"/>
  <c r="B2060" i="18" s="1"/>
  <c r="A2061" i="18"/>
  <c r="B2061" i="18" s="1"/>
  <c r="A2062" i="18"/>
  <c r="B2062" i="18" s="1"/>
  <c r="A2063" i="18"/>
  <c r="B2063" i="18" s="1"/>
  <c r="A2064" i="18"/>
  <c r="B2064" i="18" s="1"/>
  <c r="A2065" i="18"/>
  <c r="B2065" i="18" s="1"/>
  <c r="A2066" i="18"/>
  <c r="B2066" i="18" s="1"/>
  <c r="A2067" i="18"/>
  <c r="B2067" i="18" s="1"/>
  <c r="A2068" i="18"/>
  <c r="B2068" i="18" s="1"/>
  <c r="A2069" i="18"/>
  <c r="B2069" i="18" s="1"/>
  <c r="A2070" i="18"/>
  <c r="B2070" i="18" s="1"/>
  <c r="A2071" i="18"/>
  <c r="B2071" i="18" s="1"/>
  <c r="A2072" i="18"/>
  <c r="B2072" i="18" s="1"/>
  <c r="A2073" i="18"/>
  <c r="B2073" i="18" s="1"/>
  <c r="A2074" i="18"/>
  <c r="B2074" i="18" s="1"/>
  <c r="A2075" i="18"/>
  <c r="B2075" i="18" s="1"/>
  <c r="A2076" i="18"/>
  <c r="B2076" i="18" s="1"/>
  <c r="A2077" i="18"/>
  <c r="B2077" i="18" s="1"/>
  <c r="A2078" i="18"/>
  <c r="B2078" i="18" s="1"/>
  <c r="A2079" i="18"/>
  <c r="B2079" i="18" s="1"/>
  <c r="A2080" i="18"/>
  <c r="B2080" i="18" s="1"/>
  <c r="A2081" i="18"/>
  <c r="B2081" i="18" s="1"/>
  <c r="A2082" i="18"/>
  <c r="B2082" i="18" s="1"/>
  <c r="A2083" i="18"/>
  <c r="B2083" i="18" s="1"/>
  <c r="A2084" i="18"/>
  <c r="B2084" i="18" s="1"/>
  <c r="A2085" i="18"/>
  <c r="B2085" i="18" s="1"/>
  <c r="A2086" i="18"/>
  <c r="B2086" i="18" s="1"/>
  <c r="A2087" i="18"/>
  <c r="B2087" i="18" s="1"/>
  <c r="A2088" i="18"/>
  <c r="B2088" i="18" s="1"/>
  <c r="A2089" i="18"/>
  <c r="B2089" i="18" s="1"/>
  <c r="A2090" i="18"/>
  <c r="B2090" i="18" s="1"/>
  <c r="A2091" i="18"/>
  <c r="B2091" i="18" s="1"/>
  <c r="A2092" i="18"/>
  <c r="B2092" i="18" s="1"/>
  <c r="A2093" i="18"/>
  <c r="B2093" i="18" s="1"/>
  <c r="A2094" i="18"/>
  <c r="B2094" i="18" s="1"/>
  <c r="A2095" i="18"/>
  <c r="B2095" i="18" s="1"/>
  <c r="A2096" i="18"/>
  <c r="B2096" i="18" s="1"/>
  <c r="A2097" i="18"/>
  <c r="B2097" i="18" s="1"/>
  <c r="A2098" i="18"/>
  <c r="B2098" i="18" s="1"/>
  <c r="A2099" i="18"/>
  <c r="B2099" i="18" s="1"/>
  <c r="A2100" i="18"/>
  <c r="B2100" i="18" s="1"/>
  <c r="A2101" i="18"/>
  <c r="B2101" i="18" s="1"/>
  <c r="A2102" i="18"/>
  <c r="B2102" i="18" s="1"/>
  <c r="A2103" i="18"/>
  <c r="B2103" i="18" s="1"/>
  <c r="A2104" i="18"/>
  <c r="B2104" i="18" s="1"/>
  <c r="A2105" i="18"/>
  <c r="B2105" i="18" s="1"/>
  <c r="A2106" i="18"/>
  <c r="B2106" i="18" s="1"/>
  <c r="A2107" i="18"/>
  <c r="B2107" i="18" s="1"/>
  <c r="A2108" i="18"/>
  <c r="B2108" i="18" s="1"/>
  <c r="A2109" i="18"/>
  <c r="B2109" i="18" s="1"/>
  <c r="A2110" i="18"/>
  <c r="B2110" i="18" s="1"/>
  <c r="A2111" i="18"/>
  <c r="B2111" i="18" s="1"/>
  <c r="A2112" i="18"/>
  <c r="B2112" i="18" s="1"/>
  <c r="A2113" i="18"/>
  <c r="B2113" i="18" s="1"/>
  <c r="A2114" i="18"/>
  <c r="B2114" i="18" s="1"/>
  <c r="A2115" i="18"/>
  <c r="B2115" i="18" s="1"/>
  <c r="A2116" i="18"/>
  <c r="B2116" i="18" s="1"/>
  <c r="A2117" i="18"/>
  <c r="B2117" i="18" s="1"/>
  <c r="A2118" i="18"/>
  <c r="B2118" i="18" s="1"/>
  <c r="A2119" i="18"/>
  <c r="B2119" i="18" s="1"/>
  <c r="A2120" i="18"/>
  <c r="B2120" i="18" s="1"/>
  <c r="A2121" i="18"/>
  <c r="B2121" i="18" s="1"/>
  <c r="A2122" i="18"/>
  <c r="B2122" i="18" s="1"/>
  <c r="A2123" i="18"/>
  <c r="B2123" i="18" s="1"/>
  <c r="A2124" i="18"/>
  <c r="B2124" i="18" s="1"/>
  <c r="A2125" i="18"/>
  <c r="B2125" i="18" s="1"/>
  <c r="A2126" i="18"/>
  <c r="B2126" i="18" s="1"/>
  <c r="A2127" i="18"/>
  <c r="B2127" i="18" s="1"/>
  <c r="A2128" i="18"/>
  <c r="B2128" i="18" s="1"/>
  <c r="A2129" i="18"/>
  <c r="B2129" i="18" s="1"/>
  <c r="A2130" i="18"/>
  <c r="B2130" i="18" s="1"/>
  <c r="A2131" i="18"/>
  <c r="B2131" i="18" s="1"/>
  <c r="A2132" i="18"/>
  <c r="B2132" i="18" s="1"/>
  <c r="A2133" i="18"/>
  <c r="B2133" i="18" s="1"/>
  <c r="A2134" i="18"/>
  <c r="B2134" i="18" s="1"/>
  <c r="A2135" i="18"/>
  <c r="B2135" i="18" s="1"/>
  <c r="A2136" i="18"/>
  <c r="B2136" i="18" s="1"/>
  <c r="A2137" i="18"/>
  <c r="B2137" i="18" s="1"/>
  <c r="A2138" i="18"/>
  <c r="B2138" i="18" s="1"/>
  <c r="A2139" i="18"/>
  <c r="B2139" i="18" s="1"/>
  <c r="A2140" i="18"/>
  <c r="B2140" i="18" s="1"/>
  <c r="A2141" i="18"/>
  <c r="B2141" i="18" s="1"/>
  <c r="A2142" i="18"/>
  <c r="B2142" i="18" s="1"/>
  <c r="A2143" i="18"/>
  <c r="B2143" i="18" s="1"/>
  <c r="A2144" i="18"/>
  <c r="B2144" i="18" s="1"/>
  <c r="A2145" i="18"/>
  <c r="B2145" i="18" s="1"/>
  <c r="A2146" i="18"/>
  <c r="B2146" i="18" s="1"/>
  <c r="A2147" i="18"/>
  <c r="B2147" i="18" s="1"/>
  <c r="A2148" i="18"/>
  <c r="B2148" i="18" s="1"/>
  <c r="A2149" i="18"/>
  <c r="B2149" i="18" s="1"/>
  <c r="A2150" i="18"/>
  <c r="B2150" i="18" s="1"/>
  <c r="A2151" i="18"/>
  <c r="B2151" i="18" s="1"/>
  <c r="A2152" i="18"/>
  <c r="B2152" i="18" s="1"/>
  <c r="A2153" i="18"/>
  <c r="B2153" i="18" s="1"/>
  <c r="A2154" i="18"/>
  <c r="B2154" i="18" s="1"/>
  <c r="A2155" i="18"/>
  <c r="B2155" i="18" s="1"/>
  <c r="A2156" i="18"/>
  <c r="B2156" i="18" s="1"/>
  <c r="A2157" i="18"/>
  <c r="B2157" i="18" s="1"/>
  <c r="A2158" i="18"/>
  <c r="B2158" i="18" s="1"/>
  <c r="A2159" i="18"/>
  <c r="B2159" i="18" s="1"/>
  <c r="A2160" i="18"/>
  <c r="B2160" i="18" s="1"/>
  <c r="A2161" i="18"/>
  <c r="B2161" i="18" s="1"/>
  <c r="A2162" i="18"/>
  <c r="B2162" i="18" s="1"/>
  <c r="A2163" i="18"/>
  <c r="B2163" i="18" s="1"/>
  <c r="A2164" i="18"/>
  <c r="B2164" i="18" s="1"/>
  <c r="A2165" i="18"/>
  <c r="B2165" i="18" s="1"/>
  <c r="A2166" i="18"/>
  <c r="B2166" i="18" s="1"/>
  <c r="A2167" i="18"/>
  <c r="B2167" i="18" s="1"/>
  <c r="A2168" i="18"/>
  <c r="B2168" i="18" s="1"/>
  <c r="A2169" i="18"/>
  <c r="B2169" i="18" s="1"/>
  <c r="A2170" i="18"/>
  <c r="B2170" i="18" s="1"/>
  <c r="A2171" i="18"/>
  <c r="B2171" i="18" s="1"/>
  <c r="A2172" i="18"/>
  <c r="B2172" i="18" s="1"/>
  <c r="A2173" i="18"/>
  <c r="B2173" i="18" s="1"/>
  <c r="A2174" i="18"/>
  <c r="B2174" i="18" s="1"/>
  <c r="A2175" i="18"/>
  <c r="B2175" i="18" s="1"/>
  <c r="A2176" i="18"/>
  <c r="B2176" i="18" s="1"/>
  <c r="A2177" i="18"/>
  <c r="B2177" i="18" s="1"/>
  <c r="A2178" i="18"/>
  <c r="B2178" i="18" s="1"/>
  <c r="A2179" i="18"/>
  <c r="B2179" i="18" s="1"/>
  <c r="A2180" i="18"/>
  <c r="B2180" i="18" s="1"/>
  <c r="A2181" i="18"/>
  <c r="B2181" i="18" s="1"/>
  <c r="A2182" i="18"/>
  <c r="B2182" i="18" s="1"/>
  <c r="A2183" i="18"/>
  <c r="B2183" i="18" s="1"/>
  <c r="A2184" i="18"/>
  <c r="B2184" i="18" s="1"/>
  <c r="A2185" i="18"/>
  <c r="B2185" i="18" s="1"/>
  <c r="A2186" i="18"/>
  <c r="B2186" i="18" s="1"/>
  <c r="A2187" i="18"/>
  <c r="B2187" i="18" s="1"/>
  <c r="A2188" i="18"/>
  <c r="B2188" i="18" s="1"/>
  <c r="A2189" i="18"/>
  <c r="B2189" i="18" s="1"/>
  <c r="A2190" i="18"/>
  <c r="B2190" i="18" s="1"/>
  <c r="A2191" i="18"/>
  <c r="B2191" i="18" s="1"/>
  <c r="A2192" i="18"/>
  <c r="B2192" i="18" s="1"/>
  <c r="A2193" i="18"/>
  <c r="B2193" i="18" s="1"/>
  <c r="A2194" i="18"/>
  <c r="B2194" i="18" s="1"/>
  <c r="A2195" i="18"/>
  <c r="B2195" i="18" s="1"/>
  <c r="A2196" i="18"/>
  <c r="B2196" i="18" s="1"/>
  <c r="A2197" i="18"/>
  <c r="B2197" i="18" s="1"/>
  <c r="A2198" i="18"/>
  <c r="B2198" i="18" s="1"/>
  <c r="A2199" i="18"/>
  <c r="B2199" i="18" s="1"/>
  <c r="A2200" i="18"/>
  <c r="B2200" i="18" s="1"/>
  <c r="A2201" i="18"/>
  <c r="B2201" i="18" s="1"/>
  <c r="A2202" i="18"/>
  <c r="B2202" i="18" s="1"/>
  <c r="A2203" i="18"/>
  <c r="B2203" i="18" s="1"/>
  <c r="A2204" i="18"/>
  <c r="B2204" i="18" s="1"/>
  <c r="A2205" i="18"/>
  <c r="B2205" i="18" s="1"/>
  <c r="A2206" i="18"/>
  <c r="B2206" i="18" s="1"/>
  <c r="A2207" i="18"/>
  <c r="B2207" i="18" s="1"/>
  <c r="A2208" i="18"/>
  <c r="B2208" i="18" s="1"/>
  <c r="A2209" i="18"/>
  <c r="B2209" i="18" s="1"/>
  <c r="A2210" i="18"/>
  <c r="B2210" i="18" s="1"/>
  <c r="A2211" i="18"/>
  <c r="B2211" i="18" s="1"/>
  <c r="A2212" i="18"/>
  <c r="B2212" i="18" s="1"/>
  <c r="A2213" i="18"/>
  <c r="B2213" i="18" s="1"/>
  <c r="A2214" i="18"/>
  <c r="B2214" i="18" s="1"/>
  <c r="A2215" i="18"/>
  <c r="B2215" i="18" s="1"/>
  <c r="A2216" i="18"/>
  <c r="B2216" i="18" s="1"/>
  <c r="A2217" i="18"/>
  <c r="B2217" i="18" s="1"/>
  <c r="A2218" i="18"/>
  <c r="B2218" i="18" s="1"/>
  <c r="A2219" i="18"/>
  <c r="B2219" i="18" s="1"/>
  <c r="A2220" i="18"/>
  <c r="B2220" i="18" s="1"/>
  <c r="A2221" i="18"/>
  <c r="B2221" i="18" s="1"/>
  <c r="A2222" i="18"/>
  <c r="B2222" i="18" s="1"/>
  <c r="A2223" i="18"/>
  <c r="B2223" i="18" s="1"/>
  <c r="A2224" i="18"/>
  <c r="B2224" i="18" s="1"/>
  <c r="A2225" i="18"/>
  <c r="B2225" i="18" s="1"/>
  <c r="A2226" i="18"/>
  <c r="B2226" i="18" s="1"/>
  <c r="A2227" i="18"/>
  <c r="B2227" i="18" s="1"/>
  <c r="A2228" i="18"/>
  <c r="B2228" i="18" s="1"/>
  <c r="A2229" i="18"/>
  <c r="B2229" i="18" s="1"/>
  <c r="A2230" i="18"/>
  <c r="B2230" i="18" s="1"/>
  <c r="A2231" i="18"/>
  <c r="B2231" i="18" s="1"/>
  <c r="A2232" i="18"/>
  <c r="B2232" i="18" s="1"/>
  <c r="A2233" i="18"/>
  <c r="B2233" i="18" s="1"/>
  <c r="A2234" i="18"/>
  <c r="B2234" i="18" s="1"/>
  <c r="A2235" i="18"/>
  <c r="B2235" i="18" s="1"/>
  <c r="A2236" i="18"/>
  <c r="B2236" i="18" s="1"/>
  <c r="A2237" i="18"/>
  <c r="B2237" i="18" s="1"/>
  <c r="A2238" i="18"/>
  <c r="B2238" i="18" s="1"/>
  <c r="A2239" i="18"/>
  <c r="B2239" i="18" s="1"/>
  <c r="A2240" i="18"/>
  <c r="B2240" i="18" s="1"/>
  <c r="A2241" i="18"/>
  <c r="B2241" i="18" s="1"/>
  <c r="A2242" i="18"/>
  <c r="B2242" i="18" s="1"/>
  <c r="A2243" i="18"/>
  <c r="B2243" i="18" s="1"/>
  <c r="A2244" i="18"/>
  <c r="B2244" i="18" s="1"/>
  <c r="A2245" i="18"/>
  <c r="B2245" i="18" s="1"/>
  <c r="A2246" i="18"/>
  <c r="B2246" i="18" s="1"/>
  <c r="A2247" i="18"/>
  <c r="B2247" i="18" s="1"/>
  <c r="A2248" i="18"/>
  <c r="B2248" i="18" s="1"/>
  <c r="A2249" i="18"/>
  <c r="B2249" i="18" s="1"/>
  <c r="A2250" i="18"/>
  <c r="B2250" i="18" s="1"/>
  <c r="A2251" i="18"/>
  <c r="B2251" i="18" s="1"/>
  <c r="A2252" i="18"/>
  <c r="B2252" i="18" s="1"/>
  <c r="A2253" i="18"/>
  <c r="B2253" i="18" s="1"/>
  <c r="A2254" i="18"/>
  <c r="B2254" i="18" s="1"/>
  <c r="A2255" i="18"/>
  <c r="B2255" i="18" s="1"/>
  <c r="A2256" i="18"/>
  <c r="B2256" i="18" s="1"/>
  <c r="A2257" i="18"/>
  <c r="B2257" i="18" s="1"/>
  <c r="A2258" i="18"/>
  <c r="B2258" i="18" s="1"/>
  <c r="A2259" i="18"/>
  <c r="B2259" i="18" s="1"/>
  <c r="A2260" i="18"/>
  <c r="B2260" i="18" s="1"/>
  <c r="A2261" i="18"/>
  <c r="B2261" i="18" s="1"/>
  <c r="A2262" i="18"/>
  <c r="B2262" i="18" s="1"/>
  <c r="A2263" i="18"/>
  <c r="B2263" i="18" s="1"/>
  <c r="A2264" i="18"/>
  <c r="B2264" i="18" s="1"/>
  <c r="A2265" i="18"/>
  <c r="B2265" i="18" s="1"/>
  <c r="A2266" i="18"/>
  <c r="B2266" i="18" s="1"/>
  <c r="A2267" i="18"/>
  <c r="B2267" i="18" s="1"/>
  <c r="A2268" i="18"/>
  <c r="B2268" i="18" s="1"/>
  <c r="A2269" i="18"/>
  <c r="B2269" i="18" s="1"/>
  <c r="A2270" i="18"/>
  <c r="B2270" i="18" s="1"/>
  <c r="A2271" i="18"/>
  <c r="B2271" i="18" s="1"/>
  <c r="A2272" i="18"/>
  <c r="B2272" i="18" s="1"/>
  <c r="A2273" i="18"/>
  <c r="B2273" i="18" s="1"/>
  <c r="A2274" i="18"/>
  <c r="B2274" i="18" s="1"/>
  <c r="A2275" i="18"/>
  <c r="B2275" i="18" s="1"/>
  <c r="A2276" i="18"/>
  <c r="B2276" i="18" s="1"/>
  <c r="A2277" i="18"/>
  <c r="B2277" i="18" s="1"/>
  <c r="A2278" i="18"/>
  <c r="B2278" i="18" s="1"/>
  <c r="A2279" i="18"/>
  <c r="B2279" i="18" s="1"/>
  <c r="A2280" i="18"/>
  <c r="B2280" i="18" s="1"/>
  <c r="A2281" i="18"/>
  <c r="B2281" i="18" s="1"/>
  <c r="A2282" i="18"/>
  <c r="B2282" i="18" s="1"/>
  <c r="A2283" i="18"/>
  <c r="B2283" i="18" s="1"/>
  <c r="A2284" i="18"/>
  <c r="B2284" i="18" s="1"/>
  <c r="A2285" i="18"/>
  <c r="B2285" i="18" s="1"/>
  <c r="A2286" i="18"/>
  <c r="B2286" i="18" s="1"/>
  <c r="A2287" i="18"/>
  <c r="B2287" i="18" s="1"/>
  <c r="A2288" i="18"/>
  <c r="B2288" i="18" s="1"/>
  <c r="A2289" i="18"/>
  <c r="B2289" i="18" s="1"/>
  <c r="A2290" i="18"/>
  <c r="B2290" i="18" s="1"/>
  <c r="A2291" i="18"/>
  <c r="B2291" i="18" s="1"/>
  <c r="A2292" i="18"/>
  <c r="B2292" i="18" s="1"/>
  <c r="A2293" i="18"/>
  <c r="B2293" i="18" s="1"/>
  <c r="A2294" i="18"/>
  <c r="B2294" i="18" s="1"/>
  <c r="A2295" i="18"/>
  <c r="B2295" i="18" s="1"/>
  <c r="A2296" i="18"/>
  <c r="B2296" i="18" s="1"/>
  <c r="A2297" i="18"/>
  <c r="B2297" i="18" s="1"/>
  <c r="A2298" i="18"/>
  <c r="B2298" i="18" s="1"/>
  <c r="A2299" i="18"/>
  <c r="B2299" i="18" s="1"/>
  <c r="A2300" i="18"/>
  <c r="B2300" i="18" s="1"/>
  <c r="A2301" i="18"/>
  <c r="B2301" i="18" s="1"/>
  <c r="A2302" i="18"/>
  <c r="B2302" i="18" s="1"/>
  <c r="A2303" i="18"/>
  <c r="B2303" i="18" s="1"/>
  <c r="A2304" i="18"/>
  <c r="B2304" i="18" s="1"/>
  <c r="A2305" i="18"/>
  <c r="B2305" i="18" s="1"/>
  <c r="A2306" i="18"/>
  <c r="B2306" i="18" s="1"/>
  <c r="A2307" i="18"/>
  <c r="B2307" i="18" s="1"/>
  <c r="A2308" i="18"/>
  <c r="B2308" i="18" s="1"/>
  <c r="A2309" i="18"/>
  <c r="B2309" i="18" s="1"/>
  <c r="A2310" i="18"/>
  <c r="B2310" i="18" s="1"/>
  <c r="A2311" i="18"/>
  <c r="B2311" i="18" s="1"/>
  <c r="A2312" i="18"/>
  <c r="B2312" i="18" s="1"/>
  <c r="A2313" i="18"/>
  <c r="B2313" i="18" s="1"/>
  <c r="A2314" i="18"/>
  <c r="B2314" i="18" s="1"/>
  <c r="A2315" i="18"/>
  <c r="B2315" i="18" s="1"/>
  <c r="A2316" i="18"/>
  <c r="B2316" i="18" s="1"/>
  <c r="A2317" i="18"/>
  <c r="B2317" i="18" s="1"/>
  <c r="A2318" i="18"/>
  <c r="B2318" i="18" s="1"/>
  <c r="A2319" i="18"/>
  <c r="B2319" i="18" s="1"/>
  <c r="A2320" i="18"/>
  <c r="B2320" i="18" s="1"/>
  <c r="A2321" i="18"/>
  <c r="B2321" i="18" s="1"/>
  <c r="A2322" i="18"/>
  <c r="B2322" i="18" s="1"/>
  <c r="A2323" i="18"/>
  <c r="B2323" i="18" s="1"/>
  <c r="A2324" i="18"/>
  <c r="B2324" i="18" s="1"/>
  <c r="A2325" i="18"/>
  <c r="B2325" i="18" s="1"/>
  <c r="A2326" i="18"/>
  <c r="B2326" i="18" s="1"/>
  <c r="A2327" i="18"/>
  <c r="B2327" i="18" s="1"/>
  <c r="A2328" i="18"/>
  <c r="B2328" i="18" s="1"/>
  <c r="A2329" i="18"/>
  <c r="B2329" i="18" s="1"/>
  <c r="A2330" i="18"/>
  <c r="B2330" i="18" s="1"/>
  <c r="A2331" i="18"/>
  <c r="B2331" i="18" s="1"/>
  <c r="A2332" i="18"/>
  <c r="B2332" i="18" s="1"/>
  <c r="A2333" i="18"/>
  <c r="B2333" i="18" s="1"/>
  <c r="A2334" i="18"/>
  <c r="B2334" i="18" s="1"/>
  <c r="A2335" i="18"/>
  <c r="B2335" i="18" s="1"/>
  <c r="A2336" i="18"/>
  <c r="B2336" i="18" s="1"/>
  <c r="A2337" i="18"/>
  <c r="B2337" i="18" s="1"/>
  <c r="A2338" i="18"/>
  <c r="B2338" i="18" s="1"/>
  <c r="A2339" i="18"/>
  <c r="B2339" i="18" s="1"/>
  <c r="A2340" i="18"/>
  <c r="B2340" i="18" s="1"/>
  <c r="A2341" i="18"/>
  <c r="B2341" i="18" s="1"/>
  <c r="A2342" i="18"/>
  <c r="B2342" i="18" s="1"/>
  <c r="A2343" i="18"/>
  <c r="B2343" i="18" s="1"/>
  <c r="A2344" i="18"/>
  <c r="B2344" i="18" s="1"/>
  <c r="A2345" i="18"/>
  <c r="B2345" i="18" s="1"/>
  <c r="A2346" i="18"/>
  <c r="B2346" i="18" s="1"/>
  <c r="A2347" i="18"/>
  <c r="B2347" i="18" s="1"/>
  <c r="A2348" i="18"/>
  <c r="B2348" i="18" s="1"/>
  <c r="A2349" i="18"/>
  <c r="B2349" i="18" s="1"/>
  <c r="A2350" i="18"/>
  <c r="B2350" i="18" s="1"/>
  <c r="A2351" i="18"/>
  <c r="B2351" i="18" s="1"/>
  <c r="A2352" i="18"/>
  <c r="B2352" i="18" s="1"/>
  <c r="A2353" i="18"/>
  <c r="B2353" i="18" s="1"/>
  <c r="A2354" i="18"/>
  <c r="B2354" i="18" s="1"/>
  <c r="A2355" i="18"/>
  <c r="B2355" i="18" s="1"/>
  <c r="A2356" i="18"/>
  <c r="B2356" i="18" s="1"/>
  <c r="A2357" i="18"/>
  <c r="B2357" i="18" s="1"/>
  <c r="A2358" i="18"/>
  <c r="B2358" i="18" s="1"/>
  <c r="A2359" i="18"/>
  <c r="B2359" i="18" s="1"/>
  <c r="A2360" i="18"/>
  <c r="B2360" i="18" s="1"/>
  <c r="A2361" i="18"/>
  <c r="B2361" i="18" s="1"/>
  <c r="A2362" i="18"/>
  <c r="B2362" i="18" s="1"/>
  <c r="A2363" i="18"/>
  <c r="B2363" i="18" s="1"/>
  <c r="A2364" i="18"/>
  <c r="B2364" i="18" s="1"/>
  <c r="A2365" i="18"/>
  <c r="B2365" i="18" s="1"/>
  <c r="A2366" i="18"/>
  <c r="B2366" i="18" s="1"/>
  <c r="A2367" i="18"/>
  <c r="B2367" i="18" s="1"/>
  <c r="A2368" i="18"/>
  <c r="B2368" i="18" s="1"/>
  <c r="A2369" i="18"/>
  <c r="B2369" i="18" s="1"/>
  <c r="A2370" i="18"/>
  <c r="B2370" i="18" s="1"/>
  <c r="A2371" i="18"/>
  <c r="B2371" i="18" s="1"/>
  <c r="A2372" i="18"/>
  <c r="B2372" i="18" s="1"/>
  <c r="A2373" i="18"/>
  <c r="B2373" i="18" s="1"/>
  <c r="A2374" i="18"/>
  <c r="B2374" i="18" s="1"/>
  <c r="A2375" i="18"/>
  <c r="B2375" i="18" s="1"/>
  <c r="A2376" i="18"/>
  <c r="B2376" i="18" s="1"/>
  <c r="A2377" i="18"/>
  <c r="B2377" i="18" s="1"/>
  <c r="A2378" i="18"/>
  <c r="B2378" i="18" s="1"/>
  <c r="A2379" i="18"/>
  <c r="B2379" i="18" s="1"/>
  <c r="A2380" i="18"/>
  <c r="B2380" i="18" s="1"/>
  <c r="A2381" i="18"/>
  <c r="B2381" i="18" s="1"/>
  <c r="A2382" i="18"/>
  <c r="B2382" i="18" s="1"/>
  <c r="A2383" i="18"/>
  <c r="B2383" i="18" s="1"/>
  <c r="A2384" i="18"/>
  <c r="B2384" i="18" s="1"/>
  <c r="A2385" i="18"/>
  <c r="B2385" i="18" s="1"/>
  <c r="A2386" i="18"/>
  <c r="B2386" i="18" s="1"/>
  <c r="A2387" i="18"/>
  <c r="B2387" i="18" s="1"/>
  <c r="A2388" i="18"/>
  <c r="B2388" i="18" s="1"/>
  <c r="A2389" i="18"/>
  <c r="B2389" i="18" s="1"/>
  <c r="A2390" i="18"/>
  <c r="B2390" i="18" s="1"/>
  <c r="A2391" i="18"/>
  <c r="B2391" i="18" s="1"/>
  <c r="A2392" i="18"/>
  <c r="B2392" i="18" s="1"/>
  <c r="A2393" i="18"/>
  <c r="B2393" i="18" s="1"/>
  <c r="A2394" i="18"/>
  <c r="B2394" i="18" s="1"/>
  <c r="A2395" i="18"/>
  <c r="B2395" i="18" s="1"/>
  <c r="A2396" i="18"/>
  <c r="B2396" i="18" s="1"/>
  <c r="A2397" i="18"/>
  <c r="B2397" i="18" s="1"/>
  <c r="A2398" i="18"/>
  <c r="B2398" i="18" s="1"/>
  <c r="A2399" i="18"/>
  <c r="B2399" i="18" s="1"/>
  <c r="A2400" i="18"/>
  <c r="B2400" i="18" s="1"/>
  <c r="A2401" i="18"/>
  <c r="B2401" i="18" s="1"/>
  <c r="A2402" i="18"/>
  <c r="B2402" i="18" s="1"/>
  <c r="A2403" i="18"/>
  <c r="B2403" i="18" s="1"/>
  <c r="A2404" i="18"/>
  <c r="B2404" i="18" s="1"/>
  <c r="A2405" i="18"/>
  <c r="B2405" i="18" s="1"/>
  <c r="A2406" i="18"/>
  <c r="B2406" i="18" s="1"/>
  <c r="A2407" i="18"/>
  <c r="B2407" i="18" s="1"/>
  <c r="A2408" i="18"/>
  <c r="B2408" i="18" s="1"/>
  <c r="A2409" i="18"/>
  <c r="B2409" i="18" s="1"/>
  <c r="A2410" i="18"/>
  <c r="B2410" i="18" s="1"/>
  <c r="A2411" i="18"/>
  <c r="B2411" i="18" s="1"/>
  <c r="A2412" i="18"/>
  <c r="B2412" i="18" s="1"/>
  <c r="A2413" i="18"/>
  <c r="B2413" i="18" s="1"/>
  <c r="A2414" i="18"/>
  <c r="B2414" i="18" s="1"/>
  <c r="A2415" i="18"/>
  <c r="B2415" i="18" s="1"/>
  <c r="A2416" i="18"/>
  <c r="B2416" i="18" s="1"/>
  <c r="A2417" i="18"/>
  <c r="B2417" i="18" s="1"/>
  <c r="A2418" i="18"/>
  <c r="B2418" i="18" s="1"/>
  <c r="A2419" i="18"/>
  <c r="B2419" i="18" s="1"/>
  <c r="A2420" i="18"/>
  <c r="B2420" i="18" s="1"/>
  <c r="A2421" i="18"/>
  <c r="B2421" i="18" s="1"/>
  <c r="A2422" i="18"/>
  <c r="B2422" i="18" s="1"/>
  <c r="A2423" i="18"/>
  <c r="B2423" i="18" s="1"/>
  <c r="A2424" i="18"/>
  <c r="B2424" i="18" s="1"/>
  <c r="A2425" i="18"/>
  <c r="B2425" i="18" s="1"/>
  <c r="A2426" i="18"/>
  <c r="B2426" i="18" s="1"/>
  <c r="A2427" i="18"/>
  <c r="B2427" i="18" s="1"/>
  <c r="A2428" i="18"/>
  <c r="B2428" i="18" s="1"/>
  <c r="A2429" i="18"/>
  <c r="B2429" i="18" s="1"/>
  <c r="A2430" i="18"/>
  <c r="B2430" i="18" s="1"/>
  <c r="A2431" i="18"/>
  <c r="B2431" i="18" s="1"/>
  <c r="A2432" i="18"/>
  <c r="B2432" i="18" s="1"/>
  <c r="A2433" i="18"/>
  <c r="B2433" i="18" s="1"/>
  <c r="A2434" i="18"/>
  <c r="B2434" i="18" s="1"/>
  <c r="A2435" i="18"/>
  <c r="B2435" i="18" s="1"/>
  <c r="A2436" i="18"/>
  <c r="B2436" i="18" s="1"/>
  <c r="A2437" i="18"/>
  <c r="B2437" i="18" s="1"/>
  <c r="A2438" i="18"/>
  <c r="B2438" i="18" s="1"/>
  <c r="A2439" i="18"/>
  <c r="B2439" i="18" s="1"/>
  <c r="A2440" i="18"/>
  <c r="B2440" i="18" s="1"/>
  <c r="A2441" i="18"/>
  <c r="B2441" i="18" s="1"/>
  <c r="A2442" i="18"/>
  <c r="B2442" i="18" s="1"/>
  <c r="A2443" i="18"/>
  <c r="B2443" i="18" s="1"/>
  <c r="A2444" i="18"/>
  <c r="B2444" i="18" s="1"/>
  <c r="A2445" i="18"/>
  <c r="B2445" i="18" s="1"/>
  <c r="A2446" i="18"/>
  <c r="B2446" i="18" s="1"/>
  <c r="A2447" i="18"/>
  <c r="B2447" i="18" s="1"/>
  <c r="A2448" i="18"/>
  <c r="B2448" i="18" s="1"/>
  <c r="A2449" i="18"/>
  <c r="B2449" i="18" s="1"/>
  <c r="A2450" i="18"/>
  <c r="B2450" i="18" s="1"/>
  <c r="A2451" i="18"/>
  <c r="B2451" i="18" s="1"/>
  <c r="A2452" i="18"/>
  <c r="B2452" i="18" s="1"/>
  <c r="A2453" i="18"/>
  <c r="B2453" i="18" s="1"/>
  <c r="A2454" i="18"/>
  <c r="B2454" i="18" s="1"/>
  <c r="A2455" i="18"/>
  <c r="B2455" i="18" s="1"/>
  <c r="A2456" i="18"/>
  <c r="B2456" i="18" s="1"/>
  <c r="A2457" i="18"/>
  <c r="B2457" i="18" s="1"/>
  <c r="A2458" i="18"/>
  <c r="B2458" i="18" s="1"/>
  <c r="A2459" i="18"/>
  <c r="B2459" i="18" s="1"/>
  <c r="A2460" i="18"/>
  <c r="B2460" i="18" s="1"/>
  <c r="A2461" i="18"/>
  <c r="B2461" i="18" s="1"/>
  <c r="A2462" i="18"/>
  <c r="B2462" i="18" s="1"/>
  <c r="A2463" i="18"/>
  <c r="B2463" i="18" s="1"/>
  <c r="A2464" i="18"/>
  <c r="B2464" i="18" s="1"/>
  <c r="A2465" i="18"/>
  <c r="B2465" i="18" s="1"/>
  <c r="A2466" i="18"/>
  <c r="B2466" i="18" s="1"/>
  <c r="A2467" i="18"/>
  <c r="B2467" i="18" s="1"/>
  <c r="A2468" i="18"/>
  <c r="B2468" i="18" s="1"/>
  <c r="A2469" i="18"/>
  <c r="B2469" i="18" s="1"/>
  <c r="A2470" i="18"/>
  <c r="B2470" i="18" s="1"/>
  <c r="A2471" i="18"/>
  <c r="B2471" i="18" s="1"/>
  <c r="A2472" i="18"/>
  <c r="B2472" i="18" s="1"/>
  <c r="A2473" i="18"/>
  <c r="B2473" i="18" s="1"/>
  <c r="A2474" i="18"/>
  <c r="B2474" i="18" s="1"/>
  <c r="A2475" i="18"/>
  <c r="B2475" i="18" s="1"/>
  <c r="A2476" i="18"/>
  <c r="B2476" i="18" s="1"/>
  <c r="A2477" i="18"/>
  <c r="B2477" i="18" s="1"/>
  <c r="A2478" i="18"/>
  <c r="B2478" i="18" s="1"/>
  <c r="A2479" i="18"/>
  <c r="B2479" i="18" s="1"/>
  <c r="A2480" i="18"/>
  <c r="B2480" i="18" s="1"/>
  <c r="A2481" i="18"/>
  <c r="B2481" i="18" s="1"/>
  <c r="A2482" i="18"/>
  <c r="B2482" i="18" s="1"/>
  <c r="A2483" i="18"/>
  <c r="B2483" i="18" s="1"/>
  <c r="A2484" i="18"/>
  <c r="B2484" i="18" s="1"/>
  <c r="A2485" i="18"/>
  <c r="B2485" i="18" s="1"/>
  <c r="A2486" i="18"/>
  <c r="B2486" i="18" s="1"/>
  <c r="A2487" i="18"/>
  <c r="B2487" i="18" s="1"/>
  <c r="A2488" i="18"/>
  <c r="B2488" i="18" s="1"/>
  <c r="A2489" i="18"/>
  <c r="B2489" i="18" s="1"/>
  <c r="A2490" i="18"/>
  <c r="B2490" i="18" s="1"/>
  <c r="A2491" i="18"/>
  <c r="B2491" i="18" s="1"/>
  <c r="A2492" i="18"/>
  <c r="B2492" i="18" s="1"/>
  <c r="A2493" i="18"/>
  <c r="B2493" i="18" s="1"/>
  <c r="A2494" i="18"/>
  <c r="B2494" i="18" s="1"/>
  <c r="A2495" i="18"/>
  <c r="B2495" i="18" s="1"/>
  <c r="A2496" i="18"/>
  <c r="B2496" i="18" s="1"/>
  <c r="A2497" i="18"/>
  <c r="B2497" i="18" s="1"/>
  <c r="A2498" i="18"/>
  <c r="B2498" i="18" s="1"/>
  <c r="A2499" i="18"/>
  <c r="B2499" i="18" s="1"/>
  <c r="A2500" i="18"/>
  <c r="B2500" i="18" s="1"/>
  <c r="A2501" i="18"/>
  <c r="B2501" i="18" s="1"/>
  <c r="A2502" i="18"/>
  <c r="B2502" i="18" s="1"/>
  <c r="A2503" i="18"/>
  <c r="B2503" i="18" s="1"/>
  <c r="A2504" i="18"/>
  <c r="B2504" i="18" s="1"/>
  <c r="A2505" i="18"/>
  <c r="B2505" i="18" s="1"/>
  <c r="A2506" i="18"/>
  <c r="B2506" i="18" s="1"/>
  <c r="A2507" i="18"/>
  <c r="B2507" i="18" s="1"/>
  <c r="A2508" i="18"/>
  <c r="B2508" i="18" s="1"/>
  <c r="A2509" i="18"/>
  <c r="B2509" i="18" s="1"/>
  <c r="A2510" i="18"/>
  <c r="B2510" i="18" s="1"/>
  <c r="A2511" i="18"/>
  <c r="B2511" i="18" s="1"/>
  <c r="A2512" i="18"/>
  <c r="B2512" i="18" s="1"/>
  <c r="A2513" i="18"/>
  <c r="B2513" i="18" s="1"/>
  <c r="J15" i="9"/>
  <c r="J14" i="9"/>
  <c r="J15" i="8"/>
  <c r="J14" i="8"/>
  <c r="J14" i="1"/>
  <c r="J15" i="1"/>
  <c r="J35" i="10"/>
  <c r="J13" i="10"/>
  <c r="I8" i="10" l="1"/>
  <c r="J8" i="10" s="1"/>
  <c r="J24" i="10"/>
  <c r="E2" i="10" l="1"/>
  <c r="S10" i="14" l="1"/>
  <c r="S11" i="14"/>
  <c r="T11" i="14"/>
  <c r="S12" i="14"/>
  <c r="T12" i="14"/>
  <c r="S13" i="14"/>
  <c r="T13" i="14"/>
  <c r="S14" i="14"/>
  <c r="T14" i="14"/>
  <c r="U14" i="14"/>
  <c r="T15" i="14"/>
  <c r="U15" i="14"/>
  <c r="S16" i="14"/>
  <c r="T16" i="14"/>
  <c r="U16" i="14"/>
  <c r="V16" i="14"/>
  <c r="S17" i="14"/>
  <c r="T17" i="14"/>
  <c r="U17" i="14"/>
  <c r="V17" i="14"/>
  <c r="S18" i="14"/>
  <c r="T18" i="14"/>
  <c r="U18" i="14"/>
  <c r="V18" i="14"/>
  <c r="S19" i="14"/>
  <c r="T19" i="14"/>
  <c r="U19" i="14"/>
  <c r="V19" i="14"/>
  <c r="U20" i="14"/>
  <c r="V20" i="14"/>
  <c r="T21" i="14"/>
  <c r="U21" i="14"/>
  <c r="V21" i="14"/>
  <c r="W21" i="14"/>
  <c r="T22" i="14"/>
  <c r="U22" i="14"/>
  <c r="V22" i="14"/>
  <c r="W22" i="14"/>
  <c r="T23" i="14"/>
  <c r="U23" i="14"/>
  <c r="V23" i="14"/>
  <c r="W23" i="14"/>
  <c r="X23" i="14"/>
  <c r="T24" i="14"/>
  <c r="U24" i="14"/>
  <c r="V24" i="14"/>
  <c r="W24" i="14"/>
  <c r="X24" i="14"/>
  <c r="T25" i="14"/>
  <c r="V25" i="14"/>
  <c r="W25" i="14"/>
  <c r="X25" i="14"/>
  <c r="Y25" i="14"/>
  <c r="T26" i="14"/>
  <c r="U26" i="14"/>
  <c r="V26" i="14"/>
  <c r="W26" i="14"/>
  <c r="X26" i="14"/>
  <c r="Y26" i="14"/>
  <c r="U27" i="14"/>
  <c r="V27" i="14"/>
  <c r="W27" i="14"/>
  <c r="X27" i="14"/>
  <c r="Y27" i="14"/>
  <c r="U28" i="14"/>
  <c r="V28" i="14"/>
  <c r="W28" i="14"/>
  <c r="X28" i="14"/>
  <c r="Y28" i="14"/>
  <c r="Z28" i="14"/>
  <c r="U29" i="14"/>
  <c r="V29" i="14"/>
  <c r="W29" i="14"/>
  <c r="X29" i="14"/>
  <c r="Y29" i="14"/>
  <c r="Z29" i="14"/>
  <c r="AA29" i="14"/>
  <c r="U30" i="14"/>
  <c r="V30" i="14"/>
  <c r="W30" i="14"/>
  <c r="X30" i="14"/>
  <c r="Y30" i="14"/>
  <c r="Z30" i="14"/>
  <c r="AA30" i="14"/>
  <c r="U31" i="14"/>
  <c r="W31" i="14"/>
  <c r="X31" i="14"/>
  <c r="Y31" i="14"/>
  <c r="Z31" i="14"/>
  <c r="AA31" i="14"/>
  <c r="U32" i="14"/>
  <c r="V32" i="14"/>
  <c r="W32" i="14"/>
  <c r="X32" i="14"/>
  <c r="Y32" i="14"/>
  <c r="Z32" i="14"/>
  <c r="AA32" i="14"/>
  <c r="U33" i="14"/>
  <c r="V33" i="14"/>
  <c r="W33" i="14"/>
  <c r="X33" i="14"/>
  <c r="Y33" i="14"/>
  <c r="Z33" i="14"/>
  <c r="AA33" i="14"/>
  <c r="U34" i="14"/>
  <c r="V34" i="14"/>
  <c r="W34" i="14"/>
  <c r="X34" i="14"/>
  <c r="Y34" i="14"/>
  <c r="Z34" i="14"/>
  <c r="AA34" i="14"/>
  <c r="U35" i="14"/>
  <c r="V35" i="14"/>
  <c r="W35" i="14"/>
  <c r="X35" i="14"/>
  <c r="Y35" i="14"/>
  <c r="Z35" i="14"/>
  <c r="AA35" i="14"/>
  <c r="AB35" i="14"/>
  <c r="V36" i="14"/>
  <c r="W36" i="14"/>
  <c r="X36" i="14"/>
  <c r="Y36" i="14"/>
  <c r="Z36" i="14"/>
  <c r="AA36" i="14"/>
  <c r="AB36" i="14"/>
  <c r="V37" i="14"/>
  <c r="W37" i="14"/>
  <c r="X37" i="14"/>
  <c r="Y37" i="14"/>
  <c r="Z37" i="14"/>
  <c r="AA37" i="14"/>
  <c r="AB37" i="14"/>
  <c r="V38" i="14"/>
  <c r="W38" i="14"/>
  <c r="X38" i="14"/>
  <c r="Y38" i="14"/>
  <c r="Z38" i="14"/>
  <c r="AA38" i="14"/>
  <c r="AB38" i="14"/>
  <c r="V39" i="14"/>
  <c r="W39" i="14"/>
  <c r="X39" i="14"/>
  <c r="Y39" i="14"/>
  <c r="Z39" i="14"/>
  <c r="AA39" i="14"/>
  <c r="AB39" i="14"/>
  <c r="V40" i="14"/>
  <c r="W40" i="14"/>
  <c r="X40" i="14"/>
  <c r="Y40" i="14"/>
  <c r="Z40" i="14"/>
  <c r="AA40" i="14"/>
  <c r="AB40" i="14"/>
  <c r="V41" i="14"/>
  <c r="W41" i="14"/>
  <c r="X41" i="14"/>
  <c r="Y41" i="14"/>
  <c r="Z41" i="14"/>
  <c r="AA41" i="14"/>
  <c r="AB41" i="14"/>
  <c r="V42" i="14"/>
  <c r="X42" i="14"/>
  <c r="Y42" i="14"/>
  <c r="Z42" i="14"/>
  <c r="AA42" i="14"/>
  <c r="AB42" i="14"/>
  <c r="AC42" i="14"/>
  <c r="V43" i="14"/>
  <c r="W43" i="14"/>
  <c r="X43" i="14"/>
  <c r="Y43" i="14"/>
  <c r="Z43" i="14"/>
  <c r="AA43" i="14"/>
  <c r="AB43" i="14"/>
  <c r="AC43" i="14"/>
  <c r="AD43" i="14"/>
  <c r="V44" i="14"/>
  <c r="W44" i="14"/>
  <c r="X44" i="14"/>
  <c r="Y44" i="14"/>
  <c r="Z44" i="14"/>
  <c r="AA44" i="14"/>
  <c r="AB44" i="14"/>
  <c r="AC44" i="14"/>
  <c r="AD44" i="14"/>
  <c r="V45" i="14"/>
  <c r="W45" i="14"/>
  <c r="X45" i="14"/>
  <c r="Y45" i="14"/>
  <c r="Z45" i="14"/>
  <c r="AA45" i="14"/>
  <c r="AB45" i="14"/>
  <c r="AC45" i="14"/>
  <c r="AD45" i="14"/>
  <c r="W46" i="14"/>
  <c r="X46" i="14"/>
  <c r="Y46" i="14"/>
  <c r="Z46" i="14"/>
  <c r="AA46" i="14"/>
  <c r="AB46" i="14"/>
  <c r="AC46" i="14"/>
  <c r="AD46" i="14"/>
  <c r="W47" i="14"/>
  <c r="X47" i="14"/>
  <c r="Y47" i="14"/>
  <c r="Z47" i="14"/>
  <c r="AA47" i="14"/>
  <c r="AB47" i="14"/>
  <c r="AC47" i="14"/>
  <c r="AD47" i="14"/>
  <c r="W48" i="14"/>
  <c r="X48" i="14"/>
  <c r="Y48" i="14"/>
  <c r="Z48" i="14"/>
  <c r="AA48" i="14"/>
  <c r="AB48" i="14"/>
  <c r="AC48" i="14"/>
  <c r="AD48" i="14"/>
  <c r="W49" i="14"/>
  <c r="X49" i="14"/>
  <c r="Y49" i="14"/>
  <c r="Z49" i="14"/>
  <c r="AA49" i="14"/>
  <c r="AB49" i="14"/>
  <c r="AC49" i="14"/>
  <c r="AD49" i="14"/>
  <c r="W50" i="14"/>
  <c r="X50" i="14"/>
  <c r="Y50" i="14"/>
  <c r="Z50" i="14"/>
  <c r="AA50" i="14"/>
  <c r="AB50" i="14"/>
  <c r="AC50" i="14"/>
  <c r="AD50" i="14"/>
  <c r="W51" i="14"/>
  <c r="X51" i="14"/>
  <c r="Z51" i="14"/>
  <c r="AA51" i="14"/>
  <c r="AB51" i="14"/>
  <c r="AC51" i="14"/>
  <c r="AD51" i="14"/>
  <c r="W52" i="14"/>
  <c r="X52" i="14"/>
  <c r="Y52" i="14"/>
  <c r="Z52" i="14"/>
  <c r="AA52" i="14"/>
  <c r="AB52" i="14"/>
  <c r="AC52" i="14"/>
  <c r="AD52" i="14"/>
  <c r="W53" i="14"/>
  <c r="X53" i="14"/>
  <c r="Y53" i="14"/>
  <c r="Z53" i="14"/>
  <c r="AA53" i="14"/>
  <c r="AB53" i="14"/>
  <c r="AC53" i="14"/>
  <c r="AD53" i="14"/>
  <c r="AE53" i="14"/>
  <c r="W54" i="14"/>
  <c r="X54" i="14"/>
  <c r="Y54" i="14"/>
  <c r="Z54" i="14"/>
  <c r="AA54" i="14"/>
  <c r="AB54" i="14"/>
  <c r="AC54" i="14"/>
  <c r="AD54" i="14"/>
  <c r="AE54" i="14"/>
  <c r="W55" i="14"/>
  <c r="X55" i="14"/>
  <c r="Y55" i="14"/>
  <c r="Z55" i="14"/>
  <c r="AA55" i="14"/>
  <c r="AB55" i="14"/>
  <c r="AC55" i="14"/>
  <c r="AD55" i="14"/>
  <c r="AE55" i="14"/>
  <c r="W56" i="14"/>
  <c r="X56" i="14"/>
  <c r="Y56" i="14"/>
  <c r="Z56" i="14"/>
  <c r="AA56" i="14"/>
  <c r="AB56" i="14"/>
  <c r="AC56" i="14"/>
  <c r="AD56" i="14"/>
  <c r="AE56" i="14"/>
  <c r="W57" i="14"/>
  <c r="X57" i="14"/>
  <c r="Y57" i="14"/>
  <c r="Z57" i="14"/>
  <c r="AA57" i="14"/>
  <c r="AB57" i="14"/>
  <c r="AC57" i="14"/>
  <c r="AD57" i="14"/>
  <c r="AE57" i="14"/>
  <c r="AF57" i="14"/>
  <c r="W58" i="14"/>
  <c r="X58" i="14"/>
  <c r="Y58" i="14"/>
  <c r="Z58" i="14"/>
  <c r="AA58" i="14"/>
  <c r="AB58" i="14"/>
  <c r="AC58" i="14"/>
  <c r="AD58" i="14"/>
  <c r="AE58" i="14"/>
  <c r="AF58" i="14"/>
  <c r="W59" i="14"/>
  <c r="X59" i="14"/>
  <c r="Y59" i="14"/>
  <c r="AA59" i="14"/>
  <c r="AB59" i="14"/>
  <c r="AC59" i="14"/>
  <c r="AD59" i="14"/>
  <c r="AE59" i="14"/>
  <c r="AF59" i="14"/>
  <c r="W60" i="14"/>
  <c r="X60" i="14"/>
  <c r="Y60" i="14"/>
  <c r="Z60" i="14"/>
  <c r="AA60" i="14"/>
  <c r="AB60" i="14"/>
  <c r="AC60" i="14"/>
  <c r="AD60" i="14"/>
  <c r="AE60" i="14"/>
  <c r="AF60" i="14"/>
  <c r="W61" i="14"/>
  <c r="X61" i="14"/>
  <c r="Y61" i="14"/>
  <c r="Z61" i="14"/>
  <c r="AA61" i="14"/>
  <c r="AB61" i="14"/>
  <c r="AC61" i="14"/>
  <c r="AD61" i="14"/>
  <c r="AE61" i="14"/>
  <c r="AF61" i="14"/>
  <c r="AG61" i="14"/>
  <c r="X62" i="14"/>
  <c r="Y62" i="14"/>
  <c r="Z62" i="14"/>
  <c r="AA62" i="14"/>
  <c r="AB62" i="14"/>
  <c r="AC62" i="14"/>
  <c r="AD62" i="14"/>
  <c r="AE62" i="14"/>
  <c r="AF62" i="14"/>
  <c r="AG62" i="14"/>
  <c r="X63" i="14"/>
  <c r="Y63" i="14"/>
  <c r="Z63" i="14"/>
  <c r="AA63" i="14"/>
  <c r="AB63" i="14"/>
  <c r="AC63" i="14"/>
  <c r="AD63" i="14"/>
  <c r="AE63" i="14"/>
  <c r="AF63" i="14"/>
  <c r="AG63" i="14"/>
  <c r="X64" i="14"/>
  <c r="Y64" i="14"/>
  <c r="Z64" i="14"/>
  <c r="AA64" i="14"/>
  <c r="AB64" i="14"/>
  <c r="AC64" i="14"/>
  <c r="AD64" i="14"/>
  <c r="AE64" i="14"/>
  <c r="AF64" i="14"/>
  <c r="AG64" i="14"/>
  <c r="X65" i="14"/>
  <c r="Y65" i="14"/>
  <c r="Z65" i="14"/>
  <c r="AA65" i="14"/>
  <c r="AB65" i="14"/>
  <c r="AC65" i="14"/>
  <c r="AD65" i="14"/>
  <c r="AE65" i="14"/>
  <c r="AF65" i="14"/>
  <c r="AG65" i="14"/>
  <c r="X66" i="14"/>
  <c r="Y66" i="14"/>
  <c r="Z66" i="14"/>
  <c r="AA66" i="14"/>
  <c r="AB66" i="14"/>
  <c r="AC66" i="14"/>
  <c r="AD66" i="14"/>
  <c r="AE66" i="14"/>
  <c r="AF66" i="14"/>
  <c r="AG66" i="14"/>
  <c r="X67" i="14"/>
  <c r="Y67" i="14"/>
  <c r="Z67" i="14"/>
  <c r="AA67" i="14"/>
  <c r="AB67" i="14"/>
  <c r="AC67" i="14"/>
  <c r="AD67" i="14"/>
  <c r="AE67" i="14"/>
  <c r="AF67" i="14"/>
  <c r="AG67" i="14"/>
  <c r="X68" i="14"/>
  <c r="Y68" i="14"/>
  <c r="Z68" i="14"/>
  <c r="AA68" i="14"/>
  <c r="AB68" i="14"/>
  <c r="AC68" i="14"/>
  <c r="AD68" i="14"/>
  <c r="AE68" i="14"/>
  <c r="AF68" i="14"/>
  <c r="AG68" i="14"/>
  <c r="X69" i="14"/>
  <c r="Y69" i="14"/>
  <c r="Z69" i="14"/>
  <c r="AA69" i="14"/>
  <c r="AB69" i="14"/>
  <c r="AC69" i="14"/>
  <c r="AD69" i="14"/>
  <c r="AE69" i="14"/>
  <c r="AF69" i="14"/>
  <c r="AG69" i="14"/>
  <c r="X70" i="14"/>
  <c r="Y70" i="14"/>
  <c r="Z70" i="14"/>
  <c r="AA70" i="14"/>
  <c r="AB70" i="14"/>
  <c r="AC70" i="14"/>
  <c r="AD70" i="14"/>
  <c r="AE70" i="14"/>
  <c r="AF70" i="14"/>
  <c r="AG70" i="14"/>
  <c r="AH70" i="14"/>
  <c r="X71" i="14"/>
  <c r="Y71" i="14"/>
  <c r="Z71" i="14"/>
  <c r="AA71" i="14"/>
  <c r="AB71" i="14"/>
  <c r="AC71" i="14"/>
  <c r="AD71" i="14"/>
  <c r="AE71" i="14"/>
  <c r="AF71" i="14"/>
  <c r="AG71" i="14"/>
  <c r="AH71" i="14"/>
  <c r="X72" i="14"/>
  <c r="Y72" i="14"/>
  <c r="Z72" i="14"/>
  <c r="AA72" i="14"/>
  <c r="AB72" i="14"/>
  <c r="AC72" i="14"/>
  <c r="AD72" i="14"/>
  <c r="AE72" i="14"/>
  <c r="AF72" i="14"/>
  <c r="AG72" i="14"/>
  <c r="AH72" i="14"/>
  <c r="Y73" i="14"/>
  <c r="Z73" i="14"/>
  <c r="AA73" i="14"/>
  <c r="AB73" i="14"/>
  <c r="AC73" i="14"/>
  <c r="AD73" i="14"/>
  <c r="AE73" i="14"/>
  <c r="AF73" i="14"/>
  <c r="AG73" i="14"/>
  <c r="AH73" i="14"/>
  <c r="Y74" i="14"/>
  <c r="Z74" i="14"/>
  <c r="AA74" i="14"/>
  <c r="AC74" i="14"/>
  <c r="AD74" i="14"/>
  <c r="AE74" i="14"/>
  <c r="AF74" i="14"/>
  <c r="AG74" i="14"/>
  <c r="AH74" i="14"/>
  <c r="Y75" i="14"/>
  <c r="Z75" i="14"/>
  <c r="AA75" i="14"/>
  <c r="AB75" i="14"/>
  <c r="AC75" i="14"/>
  <c r="AD75" i="14"/>
  <c r="AE75" i="14"/>
  <c r="AF75" i="14"/>
  <c r="AG75" i="14"/>
  <c r="AH75" i="14"/>
  <c r="Z76" i="14"/>
  <c r="AA76" i="14"/>
  <c r="AB76" i="14"/>
  <c r="AC76" i="14"/>
  <c r="AD76" i="14"/>
  <c r="AE76" i="14"/>
  <c r="AF76" i="14"/>
  <c r="AG76" i="14"/>
  <c r="AH76" i="14"/>
  <c r="Z77" i="14"/>
  <c r="AA77" i="14"/>
  <c r="AB77" i="14"/>
  <c r="AC77" i="14"/>
  <c r="AD77" i="14"/>
  <c r="AE77" i="14"/>
  <c r="AF77" i="14"/>
  <c r="AG77" i="14"/>
  <c r="AH77" i="14"/>
  <c r="Z78" i="14"/>
  <c r="AA78" i="14"/>
  <c r="AB78" i="14"/>
  <c r="AC78" i="14"/>
  <c r="AD78" i="14"/>
  <c r="AE78" i="14"/>
  <c r="AF78" i="14"/>
  <c r="AG78" i="14"/>
  <c r="AH78" i="14"/>
  <c r="AI78" i="14"/>
  <c r="Z79" i="14"/>
  <c r="AA79" i="14"/>
  <c r="AB79" i="14"/>
  <c r="AC79" i="14"/>
  <c r="AD79" i="14"/>
  <c r="AE79" i="14"/>
  <c r="AF79" i="14"/>
  <c r="AG79" i="14"/>
  <c r="AH79" i="14"/>
  <c r="AI79" i="14"/>
  <c r="Z80" i="14"/>
  <c r="AA80" i="14"/>
  <c r="AB80" i="14"/>
  <c r="AC80" i="14"/>
  <c r="AD80" i="14"/>
  <c r="AE80" i="14"/>
  <c r="AF80" i="14"/>
  <c r="AG80" i="14"/>
  <c r="AH80" i="14"/>
  <c r="AI80" i="14"/>
  <c r="Z81" i="14"/>
  <c r="AA81" i="14"/>
  <c r="AB81" i="14"/>
  <c r="AC81" i="14"/>
  <c r="AD81" i="14"/>
  <c r="AE81" i="14"/>
  <c r="AF81" i="14"/>
  <c r="AG81" i="14"/>
  <c r="AH81" i="14"/>
  <c r="AI81" i="14"/>
  <c r="Z82" i="14"/>
  <c r="AA82" i="14"/>
  <c r="AB82" i="14"/>
  <c r="AC82" i="14"/>
  <c r="AD82" i="14"/>
  <c r="AE82" i="14"/>
  <c r="AF82" i="14"/>
  <c r="AG82" i="14"/>
  <c r="AH82" i="14"/>
  <c r="AI82" i="14"/>
  <c r="Z83" i="14"/>
  <c r="AA83" i="14"/>
  <c r="AB83" i="14"/>
  <c r="AC83" i="14"/>
  <c r="AD83" i="14"/>
  <c r="AE83" i="14"/>
  <c r="AF83" i="14"/>
  <c r="AG83" i="14"/>
  <c r="AH83" i="14"/>
  <c r="AI83" i="14"/>
  <c r="AJ83" i="14"/>
  <c r="Z84" i="14"/>
  <c r="AA84" i="14"/>
  <c r="AB84" i="14"/>
  <c r="AC84" i="14"/>
  <c r="AD84" i="14"/>
  <c r="AE84" i="14"/>
  <c r="AF84" i="14"/>
  <c r="AG84" i="14"/>
  <c r="AH84" i="14"/>
  <c r="AI84" i="14"/>
  <c r="AJ84" i="14"/>
  <c r="Z85" i="14"/>
  <c r="AA85" i="14"/>
  <c r="AB85" i="14"/>
  <c r="AC85" i="14"/>
  <c r="AD85" i="14"/>
  <c r="AE85" i="14"/>
  <c r="AF85" i="14"/>
  <c r="AG85" i="14"/>
  <c r="AH85" i="14"/>
  <c r="AI85" i="14"/>
  <c r="AJ85" i="14"/>
  <c r="Z86" i="14"/>
  <c r="AA86" i="14"/>
  <c r="AB86" i="14"/>
  <c r="AC86" i="14"/>
  <c r="AD86" i="14"/>
  <c r="AE86" i="14"/>
  <c r="AF86" i="14"/>
  <c r="AG86" i="14"/>
  <c r="AH86" i="14"/>
  <c r="AI86" i="14"/>
  <c r="AJ86" i="14"/>
  <c r="Z87" i="14"/>
  <c r="AA87" i="14"/>
  <c r="AB87" i="14"/>
  <c r="AC87" i="14"/>
  <c r="AD87" i="14"/>
  <c r="AE87" i="14"/>
  <c r="AF87" i="14"/>
  <c r="AG87" i="14"/>
  <c r="AH87" i="14"/>
  <c r="AI87" i="14"/>
  <c r="AJ87" i="14"/>
  <c r="AA88" i="14"/>
  <c r="AB88" i="14"/>
  <c r="AC88" i="14"/>
  <c r="AD88" i="14"/>
  <c r="AE88" i="14"/>
  <c r="AF88" i="14"/>
  <c r="AG88" i="14"/>
  <c r="AH88" i="14"/>
  <c r="AI88" i="14"/>
  <c r="AJ88" i="14"/>
  <c r="AA89" i="14"/>
  <c r="AB89" i="14"/>
  <c r="AC89" i="14"/>
  <c r="AD89" i="14"/>
  <c r="AE89" i="14"/>
  <c r="AF89" i="14"/>
  <c r="AG89" i="14"/>
  <c r="AH89" i="14"/>
  <c r="AI89" i="14"/>
  <c r="AJ89" i="14"/>
  <c r="AA90" i="14"/>
  <c r="AB90" i="14"/>
  <c r="AC90" i="14"/>
  <c r="AD90" i="14"/>
  <c r="AE90" i="14"/>
  <c r="AF90" i="14"/>
  <c r="AG90" i="14"/>
  <c r="AH90" i="14"/>
  <c r="AI90" i="14"/>
  <c r="AJ90" i="14"/>
  <c r="AA91" i="14"/>
  <c r="AB91" i="14"/>
  <c r="AD91" i="14"/>
  <c r="AE91" i="14"/>
  <c r="AF91" i="14"/>
  <c r="AG91" i="14"/>
  <c r="AH91" i="14"/>
  <c r="AI91" i="14"/>
  <c r="AJ91" i="14"/>
  <c r="AK91" i="14"/>
  <c r="AA92" i="14"/>
  <c r="AB92" i="14"/>
  <c r="AC92" i="14"/>
  <c r="AD92" i="14"/>
  <c r="AE92" i="14"/>
  <c r="AF92" i="14"/>
  <c r="AG92" i="14"/>
  <c r="AH92" i="14"/>
  <c r="AI92" i="14"/>
  <c r="AJ92" i="14"/>
  <c r="AK92" i="14"/>
  <c r="AA93" i="14"/>
  <c r="AB93" i="14"/>
  <c r="AC93" i="14"/>
  <c r="AD93" i="14"/>
  <c r="AE93" i="14"/>
  <c r="AF93" i="14"/>
  <c r="AG93" i="14"/>
  <c r="AH93" i="14"/>
  <c r="AI93" i="14"/>
  <c r="AJ93" i="14"/>
  <c r="AK93" i="14"/>
  <c r="AA94" i="14"/>
  <c r="AB94" i="14"/>
  <c r="AC94" i="14"/>
  <c r="AD94" i="14"/>
  <c r="AE94" i="14"/>
  <c r="AF94" i="14"/>
  <c r="AG94" i="14"/>
  <c r="AH94" i="14"/>
  <c r="AI94" i="14"/>
  <c r="AJ94" i="14"/>
  <c r="AK94" i="14"/>
  <c r="AB95" i="14"/>
  <c r="AC95" i="14"/>
  <c r="AD95" i="14"/>
  <c r="AE95" i="14"/>
  <c r="AF95" i="14"/>
  <c r="AG95" i="14"/>
  <c r="AH95" i="14"/>
  <c r="AI95" i="14"/>
  <c r="AJ95" i="14"/>
  <c r="AK95" i="14"/>
  <c r="AB96" i="14"/>
  <c r="AC96" i="14"/>
  <c r="AD96" i="14"/>
  <c r="AE96" i="14"/>
  <c r="AF96" i="14"/>
  <c r="AG96" i="14"/>
  <c r="AH96" i="14"/>
  <c r="AI96" i="14"/>
  <c r="AJ96" i="14"/>
  <c r="AK96" i="14"/>
  <c r="AB97" i="14"/>
  <c r="AC97" i="14"/>
  <c r="AD97" i="14"/>
  <c r="AE97" i="14"/>
  <c r="AF97" i="14"/>
  <c r="AG97" i="14"/>
  <c r="AH97" i="14"/>
  <c r="AI97" i="14"/>
  <c r="AJ97" i="14"/>
  <c r="AK97" i="14"/>
  <c r="AB98" i="14"/>
  <c r="AC98" i="14"/>
  <c r="AD98" i="14"/>
  <c r="AE98" i="14"/>
  <c r="AF98" i="14"/>
  <c r="AG98" i="14"/>
  <c r="AH98" i="14"/>
  <c r="AI98" i="14"/>
  <c r="AJ98" i="14"/>
  <c r="AK98" i="14"/>
  <c r="AB99" i="14"/>
  <c r="AC99" i="14"/>
  <c r="AD99" i="14"/>
  <c r="AE99" i="14"/>
  <c r="AF99" i="14"/>
  <c r="AG99" i="14"/>
  <c r="AH99" i="14"/>
  <c r="AI99" i="14"/>
  <c r="AJ99" i="14"/>
  <c r="AK99" i="14"/>
  <c r="AB100" i="14"/>
  <c r="AC100" i="14"/>
  <c r="AD100" i="14"/>
  <c r="AE100" i="14"/>
  <c r="AF100" i="14"/>
  <c r="AG100" i="14"/>
  <c r="AH100" i="14"/>
  <c r="AI100" i="14"/>
  <c r="AJ100" i="14"/>
  <c r="AK100" i="14"/>
  <c r="AL100" i="14"/>
  <c r="AB101" i="14"/>
  <c r="AC101" i="14"/>
  <c r="AD101" i="14"/>
  <c r="AE101" i="14"/>
  <c r="AF101" i="14"/>
  <c r="AG101" i="14"/>
  <c r="AH101" i="14"/>
  <c r="AI101" i="14"/>
  <c r="AJ101" i="14"/>
  <c r="AK101" i="14"/>
  <c r="AL101" i="14"/>
  <c r="AB102" i="14"/>
  <c r="AC102" i="14"/>
  <c r="AD102" i="14"/>
  <c r="AE102" i="14"/>
  <c r="AF102" i="14"/>
  <c r="AG102" i="14"/>
  <c r="AH102" i="14"/>
  <c r="AI102" i="14"/>
  <c r="AJ102" i="14"/>
  <c r="AK102" i="14"/>
  <c r="AL102" i="14"/>
  <c r="AB103" i="14"/>
  <c r="AC103" i="14"/>
  <c r="AD103" i="14"/>
  <c r="AE103" i="14"/>
  <c r="AF103" i="14"/>
  <c r="AG103" i="14"/>
  <c r="AH103" i="14"/>
  <c r="AI103" i="14"/>
  <c r="AJ103" i="14"/>
  <c r="AK103" i="14"/>
  <c r="AL103" i="14"/>
  <c r="AB104" i="14"/>
  <c r="AC104" i="14"/>
  <c r="AD104" i="14"/>
  <c r="AE104" i="14"/>
  <c r="AF104" i="14"/>
  <c r="AG104" i="14"/>
  <c r="AH104" i="14"/>
  <c r="AI104" i="14"/>
  <c r="AJ104" i="14"/>
  <c r="AK104" i="14"/>
  <c r="AL104" i="14"/>
  <c r="AM104" i="14"/>
  <c r="AB105" i="14"/>
  <c r="AC105" i="14"/>
  <c r="AD105" i="14"/>
  <c r="AE105" i="14"/>
  <c r="AF105" i="14"/>
  <c r="AG105" i="14"/>
  <c r="AH105" i="14"/>
  <c r="AI105" i="14"/>
  <c r="AJ105" i="14"/>
  <c r="AK105" i="14"/>
  <c r="AL105" i="14"/>
  <c r="AM105" i="14"/>
  <c r="AB106" i="14"/>
  <c r="AC106" i="14"/>
  <c r="AD106" i="14"/>
  <c r="AE106" i="14"/>
  <c r="AF106" i="14"/>
  <c r="AG106" i="14"/>
  <c r="AH106" i="14"/>
  <c r="AI106" i="14"/>
  <c r="AJ106" i="14"/>
  <c r="AK106" i="14"/>
  <c r="AL106" i="14"/>
  <c r="AM106" i="14"/>
  <c r="AC107" i="14"/>
  <c r="AD107" i="14"/>
  <c r="AF107" i="14"/>
  <c r="AG107" i="14"/>
  <c r="AH107" i="14"/>
  <c r="AI107" i="14"/>
  <c r="AJ107" i="14"/>
  <c r="AK107" i="14"/>
  <c r="AL107" i="14"/>
  <c r="AM107" i="14"/>
  <c r="AN107" i="14"/>
  <c r="AO107" i="14"/>
  <c r="AC108" i="14"/>
  <c r="AD108" i="14"/>
  <c r="AE108" i="14"/>
  <c r="AF108" i="14"/>
  <c r="AG108" i="14"/>
  <c r="AH108" i="14"/>
  <c r="AI108" i="14"/>
  <c r="AJ108" i="14"/>
  <c r="AK108" i="14"/>
  <c r="AL108" i="14"/>
  <c r="AM108" i="14"/>
  <c r="AN108" i="14"/>
  <c r="AO108" i="14"/>
  <c r="AP108" i="14"/>
  <c r="AC109" i="14"/>
  <c r="AD109" i="14"/>
  <c r="AE109" i="14"/>
  <c r="AF109" i="14"/>
  <c r="AH109" i="14"/>
  <c r="AI109" i="14"/>
  <c r="AJ109" i="14"/>
  <c r="AK109" i="14"/>
  <c r="AL109" i="14"/>
  <c r="AM109" i="14"/>
  <c r="AN109" i="14"/>
  <c r="AO109" i="14"/>
  <c r="AP109" i="14"/>
  <c r="AD110" i="14"/>
  <c r="AE110" i="14"/>
  <c r="AF110" i="14"/>
  <c r="AG110" i="14"/>
  <c r="AH110" i="14"/>
  <c r="AI110" i="14"/>
  <c r="AJ110" i="14"/>
  <c r="AK110" i="14"/>
  <c r="AL110" i="14"/>
  <c r="AM110" i="14"/>
  <c r="AN110" i="14"/>
  <c r="AO110" i="14"/>
  <c r="AP110" i="14"/>
  <c r="AQ110" i="14"/>
  <c r="AR110" i="14"/>
  <c r="AS110" i="14"/>
  <c r="AE111" i="14"/>
  <c r="AF111" i="14"/>
  <c r="AG111" i="14"/>
  <c r="AI111" i="14"/>
  <c r="AJ111" i="14"/>
  <c r="AK111" i="14"/>
  <c r="AL111" i="14"/>
  <c r="AM111" i="14"/>
  <c r="AN111" i="14"/>
  <c r="AO111" i="14"/>
  <c r="AP111" i="14"/>
  <c r="AQ111" i="14"/>
  <c r="AR111" i="14"/>
  <c r="AS111" i="14"/>
  <c r="AE112" i="14"/>
  <c r="AF112" i="14"/>
  <c r="AG112" i="14"/>
  <c r="AH112" i="14"/>
  <c r="AI112" i="14"/>
  <c r="AJ112" i="14"/>
  <c r="AK112" i="14"/>
  <c r="AL112" i="14"/>
  <c r="AM112" i="14"/>
  <c r="AN112" i="14"/>
  <c r="AO112" i="14"/>
  <c r="AP112" i="14"/>
  <c r="AQ112" i="14"/>
  <c r="AR112" i="14"/>
  <c r="AS112" i="14"/>
  <c r="AT112" i="14"/>
  <c r="AE113" i="14"/>
  <c r="AF113" i="14"/>
  <c r="AG113" i="14"/>
  <c r="AH113" i="14"/>
  <c r="AI113" i="14"/>
  <c r="AJ113" i="14"/>
  <c r="AK113" i="14"/>
  <c r="AL113" i="14"/>
  <c r="AM113" i="14"/>
  <c r="AN113" i="14"/>
  <c r="AO113" i="14"/>
  <c r="AP113" i="14"/>
  <c r="AQ113" i="14"/>
  <c r="AR113" i="14"/>
  <c r="AS113" i="14"/>
  <c r="AT113" i="14"/>
  <c r="AU113" i="14"/>
  <c r="AF114" i="14"/>
  <c r="AG114" i="14"/>
  <c r="AH114" i="14"/>
  <c r="AI114" i="14"/>
  <c r="AK114" i="14"/>
  <c r="AL114" i="14"/>
  <c r="AM114" i="14"/>
  <c r="AN114" i="14"/>
  <c r="AO114" i="14"/>
  <c r="AP114" i="14"/>
  <c r="AQ114" i="14"/>
  <c r="AR114" i="14"/>
  <c r="AS114" i="14"/>
  <c r="AT114" i="14"/>
  <c r="AU114" i="14"/>
  <c r="AV114" i="14"/>
  <c r="AF115" i="14"/>
  <c r="AG115" i="14"/>
  <c r="AH115" i="14"/>
  <c r="AI115" i="14"/>
  <c r="AJ115" i="14"/>
  <c r="AK115" i="14"/>
  <c r="AL115" i="14"/>
  <c r="AM115" i="14"/>
  <c r="AN115" i="14"/>
  <c r="AO115" i="14"/>
  <c r="AP115" i="14"/>
  <c r="AQ115" i="14"/>
  <c r="AR115" i="14"/>
  <c r="AS115" i="14"/>
  <c r="AT115" i="14"/>
  <c r="AU115" i="14"/>
  <c r="AV115" i="14"/>
  <c r="AW115" i="14"/>
  <c r="AF116" i="14"/>
  <c r="AG116" i="14"/>
  <c r="AH116" i="14"/>
  <c r="AI116" i="14"/>
  <c r="AJ116" i="14"/>
  <c r="AK116" i="14"/>
  <c r="AL116" i="14"/>
  <c r="AM116" i="14"/>
  <c r="AN116" i="14"/>
  <c r="AO116" i="14"/>
  <c r="AP116" i="14"/>
  <c r="AQ116" i="14"/>
  <c r="AR116" i="14"/>
  <c r="AS116" i="14"/>
  <c r="AT116" i="14"/>
  <c r="AU116" i="14"/>
  <c r="AV116" i="14"/>
  <c r="AW116" i="14"/>
  <c r="AX116" i="14"/>
  <c r="AH117" i="14"/>
  <c r="AI117" i="14"/>
  <c r="AJ117" i="14"/>
  <c r="AK117" i="14"/>
  <c r="AL117" i="14"/>
  <c r="AM117" i="14"/>
  <c r="AN117" i="14"/>
  <c r="AO117" i="14"/>
  <c r="AP117" i="14"/>
  <c r="AQ117" i="14"/>
  <c r="AR117" i="14"/>
  <c r="AS117" i="14"/>
  <c r="AT117" i="14"/>
  <c r="AU117" i="14"/>
  <c r="AV117" i="14"/>
  <c r="AW117" i="14"/>
  <c r="AX117" i="14"/>
  <c r="AY117" i="14"/>
  <c r="AH118" i="14"/>
  <c r="AI118" i="14"/>
  <c r="AJ118" i="14"/>
  <c r="AK118" i="14"/>
  <c r="AL118" i="14"/>
  <c r="AM118" i="14"/>
  <c r="AN118" i="14"/>
  <c r="AO118" i="14"/>
  <c r="AP118" i="14"/>
  <c r="AQ118" i="14"/>
  <c r="AR118" i="14"/>
  <c r="AS118" i="14"/>
  <c r="AT118" i="14"/>
  <c r="AU118" i="14"/>
  <c r="AV118" i="14"/>
  <c r="AW118" i="14"/>
  <c r="AX118" i="14"/>
  <c r="AY118" i="14"/>
  <c r="AH119" i="14"/>
  <c r="AI119" i="14"/>
  <c r="AJ119" i="14"/>
  <c r="AK119" i="14"/>
  <c r="AL119" i="14"/>
  <c r="AN119" i="14"/>
  <c r="AO119" i="14"/>
  <c r="AP119" i="14"/>
  <c r="AQ119" i="14"/>
  <c r="AR119" i="14"/>
  <c r="AS119" i="14"/>
  <c r="AT119" i="14"/>
  <c r="AU119" i="14"/>
  <c r="AV119" i="14"/>
  <c r="AW119" i="14"/>
  <c r="AX119" i="14"/>
  <c r="AY119" i="14"/>
  <c r="AZ119" i="14"/>
  <c r="AI120" i="14"/>
  <c r="AJ120" i="14"/>
  <c r="AK120" i="14"/>
  <c r="AL120" i="14"/>
  <c r="AM120" i="14"/>
  <c r="AN120" i="14"/>
  <c r="AO120" i="14"/>
  <c r="AP120" i="14"/>
  <c r="AQ120" i="14"/>
  <c r="AR120" i="14"/>
  <c r="AS120" i="14"/>
  <c r="AT120" i="14"/>
  <c r="AU120" i="14"/>
  <c r="AV120" i="14"/>
  <c r="AW120" i="14"/>
  <c r="AX120" i="14"/>
  <c r="AY120" i="14"/>
  <c r="AZ120" i="14"/>
  <c r="BA120" i="14"/>
  <c r="AI121" i="14"/>
  <c r="AJ121" i="14"/>
  <c r="AK121" i="14"/>
  <c r="AL121" i="14"/>
  <c r="AM121" i="14"/>
  <c r="AN121" i="14"/>
  <c r="AO121" i="14"/>
  <c r="AP121" i="14"/>
  <c r="AQ121" i="14"/>
  <c r="AR121" i="14"/>
  <c r="AS121" i="14"/>
  <c r="AT121" i="14"/>
  <c r="AU121" i="14"/>
  <c r="AV121" i="14"/>
  <c r="AW121" i="14"/>
  <c r="AX121" i="14"/>
  <c r="AY121" i="14"/>
  <c r="AZ121" i="14"/>
  <c r="BA121" i="14"/>
  <c r="AI122" i="14"/>
  <c r="AJ122" i="14"/>
  <c r="AK122" i="14"/>
  <c r="AL122" i="14"/>
  <c r="AM122" i="14"/>
  <c r="AO122" i="14"/>
  <c r="AP122" i="14"/>
  <c r="AQ122" i="14"/>
  <c r="AR122" i="14"/>
  <c r="AS122" i="14"/>
  <c r="AT122" i="14"/>
  <c r="AU122" i="14"/>
  <c r="AV122" i="14"/>
  <c r="AW122" i="14"/>
  <c r="AX122" i="14"/>
  <c r="AY122" i="14"/>
  <c r="AZ122" i="14"/>
  <c r="BA122" i="14"/>
  <c r="BB122" i="14"/>
  <c r="AI123" i="14"/>
  <c r="AJ123" i="14"/>
  <c r="AK123" i="14"/>
  <c r="AL123" i="14"/>
  <c r="AM123" i="14"/>
  <c r="AN123" i="14"/>
  <c r="AO123" i="14"/>
  <c r="AP123" i="14"/>
  <c r="AQ123" i="14"/>
  <c r="AR123" i="14"/>
  <c r="AS123" i="14"/>
  <c r="AT123" i="14"/>
  <c r="AU123" i="14"/>
  <c r="AV123" i="14"/>
  <c r="AW123" i="14"/>
  <c r="AX123" i="14"/>
  <c r="AY123" i="14"/>
  <c r="AZ123" i="14"/>
  <c r="BA123" i="14"/>
  <c r="BB123" i="14"/>
  <c r="AJ124" i="14"/>
  <c r="AK124" i="14"/>
  <c r="AL124" i="14"/>
  <c r="AM124" i="14"/>
  <c r="AN124" i="14"/>
  <c r="AO124" i="14"/>
  <c r="AP124" i="14"/>
  <c r="AQ124" i="14"/>
  <c r="AR124" i="14"/>
  <c r="AS124" i="14"/>
  <c r="AT124" i="14"/>
  <c r="AU124" i="14"/>
  <c r="AV124" i="14"/>
  <c r="AW124" i="14"/>
  <c r="AX124" i="14"/>
  <c r="AY124" i="14"/>
  <c r="AZ124" i="14"/>
  <c r="BA124" i="14"/>
  <c r="BB124" i="14"/>
  <c r="BC124" i="14"/>
  <c r="BD124" i="14"/>
  <c r="AK125" i="14"/>
  <c r="AL125" i="14"/>
  <c r="AM125" i="14"/>
  <c r="AN125" i="14"/>
  <c r="AO125" i="14"/>
  <c r="AQ125" i="14"/>
  <c r="AR125" i="14"/>
  <c r="AS125" i="14"/>
  <c r="AT125" i="14"/>
  <c r="AU125" i="14"/>
  <c r="AV125" i="14"/>
  <c r="AW125" i="14"/>
  <c r="AX125" i="14"/>
  <c r="AY125" i="14"/>
  <c r="AZ125" i="14"/>
  <c r="BA125" i="14"/>
  <c r="BB125" i="14"/>
  <c r="BC125" i="14"/>
  <c r="BD125" i="14"/>
  <c r="AK126" i="14"/>
  <c r="AL126" i="14"/>
  <c r="AM126" i="14"/>
  <c r="AN126" i="14"/>
  <c r="AO126" i="14"/>
  <c r="AP126" i="14"/>
  <c r="AQ126" i="14"/>
  <c r="AR126" i="14"/>
  <c r="AS126" i="14"/>
  <c r="AT126" i="14"/>
  <c r="AU126" i="14"/>
  <c r="AV126" i="14"/>
  <c r="AW126" i="14"/>
  <c r="AX126" i="14"/>
  <c r="AY126" i="14"/>
  <c r="AZ126" i="14"/>
  <c r="BA126" i="14"/>
  <c r="BB126" i="14"/>
  <c r="BC126" i="14"/>
  <c r="BD126" i="14"/>
  <c r="AK127" i="14"/>
  <c r="AL127" i="14"/>
  <c r="AM127" i="14"/>
  <c r="AN127" i="14"/>
  <c r="AO127" i="14"/>
  <c r="AP127" i="14"/>
  <c r="AQ127" i="14"/>
  <c r="AR127" i="14"/>
  <c r="AS127" i="14"/>
  <c r="AT127" i="14"/>
  <c r="AU127" i="14"/>
  <c r="AV127" i="14"/>
  <c r="AW127" i="14"/>
  <c r="AX127" i="14"/>
  <c r="AY127" i="14"/>
  <c r="AZ127" i="14"/>
  <c r="BA127" i="14"/>
  <c r="BB127" i="14"/>
  <c r="BC127" i="14"/>
  <c r="BD127" i="14"/>
  <c r="AL128" i="14"/>
  <c r="AM128" i="14"/>
  <c r="AN128" i="14"/>
  <c r="AO128" i="14"/>
  <c r="AP128" i="14"/>
  <c r="AQ128" i="14"/>
  <c r="AR128" i="14"/>
  <c r="AS128" i="14"/>
  <c r="AT128" i="14"/>
  <c r="AU128" i="14"/>
  <c r="AV128" i="14"/>
  <c r="AW128" i="14"/>
  <c r="AX128" i="14"/>
  <c r="AY128" i="14"/>
  <c r="AZ128" i="14"/>
  <c r="BA128" i="14"/>
  <c r="BB128" i="14"/>
  <c r="BC128" i="14"/>
  <c r="BD128" i="14"/>
  <c r="BE128" i="14"/>
  <c r="AL129" i="14"/>
  <c r="AM129" i="14"/>
  <c r="AN129" i="14"/>
  <c r="AO129" i="14"/>
  <c r="AP129" i="14"/>
  <c r="AR129" i="14"/>
  <c r="AS129" i="14"/>
  <c r="AT129" i="14"/>
  <c r="AU129" i="14"/>
  <c r="AV129" i="14"/>
  <c r="AW129" i="14"/>
  <c r="AX129" i="14"/>
  <c r="AY129" i="14"/>
  <c r="AZ129" i="14"/>
  <c r="BA129" i="14"/>
  <c r="BB129" i="14"/>
  <c r="BC129" i="14"/>
  <c r="BD129" i="14"/>
  <c r="BE129" i="14"/>
  <c r="BF129" i="14"/>
  <c r="AL130" i="14"/>
  <c r="AM130" i="14"/>
  <c r="AN130" i="14"/>
  <c r="AO130" i="14"/>
  <c r="AP130" i="14"/>
  <c r="AQ130" i="14"/>
  <c r="AR130" i="14"/>
  <c r="AS130" i="14"/>
  <c r="AT130" i="14"/>
  <c r="AU130" i="14"/>
  <c r="AV130" i="14"/>
  <c r="AW130" i="14"/>
  <c r="AX130" i="14"/>
  <c r="AY130" i="14"/>
  <c r="AZ130" i="14"/>
  <c r="BA130" i="14"/>
  <c r="BB130" i="14"/>
  <c r="BC130" i="14"/>
  <c r="BD130" i="14"/>
  <c r="BE130" i="14"/>
  <c r="BF130" i="14"/>
  <c r="BG130" i="14"/>
  <c r="AM131" i="14"/>
  <c r="AN131" i="14"/>
  <c r="AO131" i="14"/>
  <c r="AP131" i="14"/>
  <c r="AQ131" i="14"/>
  <c r="AR131" i="14"/>
  <c r="AT131" i="14"/>
  <c r="AU131" i="14"/>
  <c r="AV131" i="14"/>
  <c r="AW131" i="14"/>
  <c r="AX131" i="14"/>
  <c r="AY131" i="14"/>
  <c r="AZ131" i="14"/>
  <c r="BA131" i="14"/>
  <c r="BB131" i="14"/>
  <c r="BC131" i="14"/>
  <c r="BD131" i="14"/>
  <c r="BE131" i="14"/>
  <c r="BF131" i="14"/>
  <c r="BG131" i="14"/>
  <c r="AM132" i="14"/>
  <c r="AN132" i="14"/>
  <c r="AO132" i="14"/>
  <c r="AP132" i="14"/>
  <c r="AQ132" i="14"/>
  <c r="AR132" i="14"/>
  <c r="AS132" i="14"/>
  <c r="AT132" i="14"/>
  <c r="AU132" i="14"/>
  <c r="AV132" i="14"/>
  <c r="AW132" i="14"/>
  <c r="AX132" i="14"/>
  <c r="AY132" i="14"/>
  <c r="AZ132" i="14"/>
  <c r="BA132" i="14"/>
  <c r="BB132" i="14"/>
  <c r="BC132" i="14"/>
  <c r="BD132" i="14"/>
  <c r="BE132" i="14"/>
  <c r="BF132" i="14"/>
  <c r="BG132" i="14"/>
  <c r="BH132" i="14"/>
  <c r="AN133" i="14"/>
  <c r="AO133" i="14"/>
  <c r="AP133" i="14"/>
  <c r="AQ133" i="14"/>
  <c r="AR133" i="14"/>
  <c r="AS133" i="14"/>
  <c r="AT133" i="14"/>
  <c r="AU133" i="14"/>
  <c r="AV133" i="14"/>
  <c r="AW133" i="14"/>
  <c r="AX133" i="14"/>
  <c r="AY133" i="14"/>
  <c r="AZ133" i="14"/>
  <c r="BA133" i="14"/>
  <c r="BB133" i="14"/>
  <c r="BC133" i="14"/>
  <c r="BD133" i="14"/>
  <c r="BE133" i="14"/>
  <c r="BF133" i="14"/>
  <c r="BG133" i="14"/>
  <c r="BH133" i="14"/>
  <c r="BI133" i="14"/>
  <c r="AN134" i="14"/>
  <c r="AO134" i="14"/>
  <c r="AP134" i="14"/>
  <c r="AQ134" i="14"/>
  <c r="AR134" i="14"/>
  <c r="AS134" i="14"/>
  <c r="AT134" i="14"/>
  <c r="AU134" i="14"/>
  <c r="AV134" i="14"/>
  <c r="AW134" i="14"/>
  <c r="AX134" i="14"/>
  <c r="AY134" i="14"/>
  <c r="AZ134" i="14"/>
  <c r="BA134" i="14"/>
  <c r="BB134" i="14"/>
  <c r="BC134" i="14"/>
  <c r="BD134" i="14"/>
  <c r="BE134" i="14"/>
  <c r="BF134" i="14"/>
  <c r="BG134" i="14"/>
  <c r="BH134" i="14"/>
  <c r="BI134" i="14"/>
  <c r="AN135" i="14"/>
  <c r="AO135" i="14"/>
  <c r="AP135" i="14"/>
  <c r="AQ135" i="14"/>
  <c r="AR135" i="14"/>
  <c r="AS135" i="14"/>
  <c r="AU135" i="14"/>
  <c r="AV135" i="14"/>
  <c r="AW135" i="14"/>
  <c r="AX135" i="14"/>
  <c r="AY135" i="14"/>
  <c r="AZ135" i="14"/>
  <c r="BA135" i="14"/>
  <c r="BB135" i="14"/>
  <c r="BC135" i="14"/>
  <c r="BD135" i="14"/>
  <c r="BE135" i="14"/>
  <c r="BF135" i="14"/>
  <c r="BG135" i="14"/>
  <c r="BH135" i="14"/>
  <c r="BI135" i="14"/>
  <c r="AN136" i="14"/>
  <c r="AO136" i="14"/>
  <c r="AP136" i="14"/>
  <c r="AQ136" i="14"/>
  <c r="AR136" i="14"/>
  <c r="AS136" i="14"/>
  <c r="AT136" i="14"/>
  <c r="AU136" i="14"/>
  <c r="AV136" i="14"/>
  <c r="AW136" i="14"/>
  <c r="AX136" i="14"/>
  <c r="AY136" i="14"/>
  <c r="AZ136" i="14"/>
  <c r="BA136" i="14"/>
  <c r="BB136" i="14"/>
  <c r="BC136" i="14"/>
  <c r="BD136" i="14"/>
  <c r="BE136" i="14"/>
  <c r="BF136" i="14"/>
  <c r="BG136" i="14"/>
  <c r="BH136" i="14"/>
  <c r="BI136" i="14"/>
  <c r="AO137" i="14"/>
  <c r="AP137" i="14"/>
  <c r="AQ137" i="14"/>
  <c r="AR137" i="14"/>
  <c r="AS137" i="14"/>
  <c r="AT137" i="14"/>
  <c r="AU137" i="14"/>
  <c r="AV137" i="14"/>
  <c r="AW137" i="14"/>
  <c r="AX137" i="14"/>
  <c r="AY137" i="14"/>
  <c r="AZ137" i="14"/>
  <c r="BA137" i="14"/>
  <c r="BB137" i="14"/>
  <c r="BC137" i="14"/>
  <c r="BD137" i="14"/>
  <c r="BE137" i="14"/>
  <c r="BF137" i="14"/>
  <c r="BG137" i="14"/>
  <c r="BH137" i="14"/>
  <c r="BI137" i="14"/>
  <c r="AP138" i="14"/>
  <c r="AQ138" i="14"/>
  <c r="AR138" i="14"/>
  <c r="AS138" i="14"/>
  <c r="AT138" i="14"/>
  <c r="AU138" i="14"/>
  <c r="AV138" i="14"/>
  <c r="AW138" i="14"/>
  <c r="AX138" i="14"/>
  <c r="AY138" i="14"/>
  <c r="AZ138" i="14"/>
  <c r="BA138" i="14"/>
  <c r="BB138" i="14"/>
  <c r="BC138" i="14"/>
  <c r="BD138" i="14"/>
  <c r="BE138" i="14"/>
  <c r="BF138" i="14"/>
  <c r="BG138" i="14"/>
  <c r="BH138" i="14"/>
  <c r="BI138" i="14"/>
  <c r="AP139" i="14"/>
  <c r="AQ139" i="14"/>
  <c r="AR139" i="14"/>
  <c r="AS139" i="14"/>
  <c r="AT139" i="14"/>
  <c r="AV139" i="14"/>
  <c r="AW139" i="14"/>
  <c r="AX139" i="14"/>
  <c r="AY139" i="14"/>
  <c r="AZ139" i="14"/>
  <c r="BA139" i="14"/>
  <c r="BB139" i="14"/>
  <c r="BC139" i="14"/>
  <c r="BD139" i="14"/>
  <c r="BE139" i="14"/>
  <c r="BF139" i="14"/>
  <c r="BG139" i="14"/>
  <c r="BH139" i="14"/>
  <c r="BI139" i="14"/>
  <c r="AP140" i="14"/>
  <c r="AQ140" i="14"/>
  <c r="AR140" i="14"/>
  <c r="AS140" i="14"/>
  <c r="AT140" i="14"/>
  <c r="AU140" i="14"/>
  <c r="AV140" i="14"/>
  <c r="AW140" i="14"/>
  <c r="AX140" i="14"/>
  <c r="AY140" i="14"/>
  <c r="AZ140" i="14"/>
  <c r="BA140" i="14"/>
  <c r="BB140" i="14"/>
  <c r="BC140" i="14"/>
  <c r="BD140" i="14"/>
  <c r="BE140" i="14"/>
  <c r="BF140" i="14"/>
  <c r="BG140" i="14"/>
  <c r="BH140" i="14"/>
  <c r="BI140" i="14"/>
  <c r="BJ140" i="14"/>
  <c r="AP141" i="14"/>
  <c r="AQ141" i="14"/>
  <c r="AR141" i="14"/>
  <c r="AS141" i="14"/>
  <c r="AT141" i="14"/>
  <c r="AU141" i="14"/>
  <c r="AV141" i="14"/>
  <c r="AW141" i="14"/>
  <c r="AX141" i="14"/>
  <c r="AY141" i="14"/>
  <c r="AZ141" i="14"/>
  <c r="BA141" i="14"/>
  <c r="BB141" i="14"/>
  <c r="BC141" i="14"/>
  <c r="BD141" i="14"/>
  <c r="BE141" i="14"/>
  <c r="BF141" i="14"/>
  <c r="BG141" i="14"/>
  <c r="BH141" i="14"/>
  <c r="BI141" i="14"/>
  <c r="BJ141" i="14"/>
  <c r="BK141" i="14"/>
  <c r="AQ142" i="14"/>
  <c r="AR142" i="14"/>
  <c r="AS142" i="14"/>
  <c r="AT142" i="14"/>
  <c r="AU142" i="14"/>
  <c r="AV142" i="14"/>
  <c r="AW142" i="14"/>
  <c r="AX142" i="14"/>
  <c r="AY142" i="14"/>
  <c r="AZ142" i="14"/>
  <c r="BA142" i="14"/>
  <c r="BB142" i="14"/>
  <c r="BC142" i="14"/>
  <c r="BD142" i="14"/>
  <c r="BE142" i="14"/>
  <c r="BF142" i="14"/>
  <c r="BG142" i="14"/>
  <c r="BH142" i="14"/>
  <c r="BI142" i="14"/>
  <c r="BJ142" i="14"/>
  <c r="BK142" i="14"/>
  <c r="AQ143" i="14"/>
  <c r="AR143" i="14"/>
  <c r="AS143" i="14"/>
  <c r="AT143" i="14"/>
  <c r="AU143" i="14"/>
  <c r="AV143" i="14"/>
  <c r="AW143" i="14"/>
  <c r="AX143" i="14"/>
  <c r="AY143" i="14"/>
  <c r="AZ143" i="14"/>
  <c r="BA143" i="14"/>
  <c r="BB143" i="14"/>
  <c r="BC143" i="14"/>
  <c r="BD143" i="14"/>
  <c r="BE143" i="14"/>
  <c r="BF143" i="14"/>
  <c r="BG143" i="14"/>
  <c r="BH143" i="14"/>
  <c r="BI143" i="14"/>
  <c r="BJ143" i="14"/>
  <c r="BK143" i="14"/>
  <c r="AQ144" i="14"/>
  <c r="AR144" i="14"/>
  <c r="AS144" i="14"/>
  <c r="AT144" i="14"/>
  <c r="AU144" i="14"/>
  <c r="AV144" i="14"/>
  <c r="AX144" i="14"/>
  <c r="AY144" i="14"/>
  <c r="AZ144" i="14"/>
  <c r="BA144" i="14"/>
  <c r="BB144" i="14"/>
  <c r="BC144" i="14"/>
  <c r="BD144" i="14"/>
  <c r="BE144" i="14"/>
  <c r="BF144" i="14"/>
  <c r="BG144" i="14"/>
  <c r="BH144" i="14"/>
  <c r="BI144" i="14"/>
  <c r="BJ144" i="14"/>
  <c r="BK144" i="14"/>
  <c r="AQ145" i="14"/>
  <c r="AR145" i="14"/>
  <c r="AS145" i="14"/>
  <c r="AT145" i="14"/>
  <c r="AU145" i="14"/>
  <c r="AV145" i="14"/>
  <c r="AW145" i="14"/>
  <c r="AX145" i="14"/>
  <c r="AY145" i="14"/>
  <c r="AZ145" i="14"/>
  <c r="BA145" i="14"/>
  <c r="BB145" i="14"/>
  <c r="BC145" i="14"/>
  <c r="BD145" i="14"/>
  <c r="BE145" i="14"/>
  <c r="BF145" i="14"/>
  <c r="BG145" i="14"/>
  <c r="BH145" i="14"/>
  <c r="BI145" i="14"/>
  <c r="BJ145" i="14"/>
  <c r="BK145" i="14"/>
  <c r="BL145" i="14"/>
  <c r="AQ146" i="14"/>
  <c r="AR146" i="14"/>
  <c r="AS146" i="14"/>
  <c r="AT146" i="14"/>
  <c r="AU146" i="14"/>
  <c r="AV146" i="14"/>
  <c r="AW146" i="14"/>
  <c r="AX146" i="14"/>
  <c r="AY146" i="14"/>
  <c r="AZ146" i="14"/>
  <c r="BA146" i="14"/>
  <c r="BB146" i="14"/>
  <c r="BC146" i="14"/>
  <c r="BD146" i="14"/>
  <c r="BE146" i="14"/>
  <c r="BF146" i="14"/>
  <c r="BG146" i="14"/>
  <c r="BH146" i="14"/>
  <c r="BI146" i="14"/>
  <c r="BJ146" i="14"/>
  <c r="BK146" i="14"/>
  <c r="BL146" i="14"/>
  <c r="AQ147" i="14"/>
  <c r="AR147" i="14"/>
  <c r="AS147" i="14"/>
  <c r="AT147" i="14"/>
  <c r="AU147" i="14"/>
  <c r="AV147" i="14"/>
  <c r="AW147" i="14"/>
  <c r="AX147" i="14"/>
  <c r="AY147" i="14"/>
  <c r="AZ147" i="14"/>
  <c r="BA147" i="14"/>
  <c r="BB147" i="14"/>
  <c r="BC147" i="14"/>
  <c r="BD147" i="14"/>
  <c r="BE147" i="14"/>
  <c r="BF147" i="14"/>
  <c r="BG147" i="14"/>
  <c r="BH147" i="14"/>
  <c r="BI147" i="14"/>
  <c r="BJ147" i="14"/>
  <c r="BK147" i="14"/>
  <c r="BL147" i="14"/>
  <c r="AR148" i="14"/>
  <c r="AS148" i="14"/>
  <c r="AT148" i="14"/>
  <c r="AU148" i="14"/>
  <c r="AV148" i="14"/>
  <c r="AW148" i="14"/>
  <c r="AX148" i="14"/>
  <c r="AY148" i="14"/>
  <c r="AZ148" i="14"/>
  <c r="BA148" i="14"/>
  <c r="BB148" i="14"/>
  <c r="BC148" i="14"/>
  <c r="BD148" i="14"/>
  <c r="BE148" i="14"/>
  <c r="BF148" i="14"/>
  <c r="BG148" i="14"/>
  <c r="BH148" i="14"/>
  <c r="BI148" i="14"/>
  <c r="BJ148" i="14"/>
  <c r="BK148" i="14"/>
  <c r="BL148" i="14"/>
  <c r="BM148" i="14"/>
  <c r="AS149" i="14"/>
  <c r="AT149" i="14"/>
  <c r="AU149" i="14"/>
  <c r="AV149" i="14"/>
  <c r="AW149" i="14"/>
  <c r="AX149" i="14"/>
  <c r="AZ149" i="14"/>
  <c r="BA149" i="14"/>
  <c r="BB149" i="14"/>
  <c r="BC149" i="14"/>
  <c r="BD149" i="14"/>
  <c r="BE149" i="14"/>
  <c r="BF149" i="14"/>
  <c r="BG149" i="14"/>
  <c r="BH149" i="14"/>
  <c r="BI149" i="14"/>
  <c r="BJ149" i="14"/>
  <c r="BK149" i="14"/>
  <c r="BL149" i="14"/>
  <c r="BM149" i="14"/>
  <c r="BN149" i="14"/>
  <c r="AS150" i="14"/>
  <c r="AT150" i="14"/>
  <c r="AU150" i="14"/>
  <c r="AV150" i="14"/>
  <c r="AW150" i="14"/>
  <c r="AX150" i="14"/>
  <c r="AY150" i="14"/>
  <c r="AZ150" i="14"/>
  <c r="BA150" i="14"/>
  <c r="BB150" i="14"/>
  <c r="BC150" i="14"/>
  <c r="BD150" i="14"/>
  <c r="BE150" i="14"/>
  <c r="BF150" i="14"/>
  <c r="BG150" i="14"/>
  <c r="BH150" i="14"/>
  <c r="BI150" i="14"/>
  <c r="BJ150" i="14"/>
  <c r="BK150" i="14"/>
  <c r="BL150" i="14"/>
  <c r="BM150" i="14"/>
  <c r="BN150" i="14"/>
  <c r="AT151" i="14"/>
  <c r="AU151" i="14"/>
  <c r="AV151" i="14"/>
  <c r="AW151" i="14"/>
  <c r="AX151" i="14"/>
  <c r="AY151" i="14"/>
  <c r="AZ151" i="14"/>
  <c r="BA151" i="14"/>
  <c r="BB151" i="14"/>
  <c r="BC151" i="14"/>
  <c r="BD151" i="14"/>
  <c r="BE151" i="14"/>
  <c r="BF151" i="14"/>
  <c r="BG151" i="14"/>
  <c r="BH151" i="14"/>
  <c r="BI151" i="14"/>
  <c r="BJ151" i="14"/>
  <c r="BK151" i="14"/>
  <c r="BL151" i="14"/>
  <c r="BM151" i="14"/>
  <c r="BN151" i="14"/>
  <c r="BO151" i="14"/>
  <c r="AT152" i="14"/>
  <c r="AU152" i="14"/>
  <c r="AV152" i="14"/>
  <c r="AW152" i="14"/>
  <c r="AX152" i="14"/>
  <c r="AY152" i="14"/>
  <c r="AZ152" i="14"/>
  <c r="BA152" i="14"/>
  <c r="BB152" i="14"/>
  <c r="BC152" i="14"/>
  <c r="BD152" i="14"/>
  <c r="BE152" i="14"/>
  <c r="BF152" i="14"/>
  <c r="BG152" i="14"/>
  <c r="BH152" i="14"/>
  <c r="BI152" i="14"/>
  <c r="BJ152" i="14"/>
  <c r="BK152" i="14"/>
  <c r="BL152" i="14"/>
  <c r="BM152" i="14"/>
  <c r="BN152" i="14"/>
  <c r="BO152" i="14"/>
  <c r="AT153" i="14"/>
  <c r="AU153" i="14"/>
  <c r="AV153" i="14"/>
  <c r="AW153" i="14"/>
  <c r="AX153" i="14"/>
  <c r="AY153" i="14"/>
  <c r="BA153" i="14"/>
  <c r="BB153" i="14"/>
  <c r="BC153" i="14"/>
  <c r="BD153" i="14"/>
  <c r="BE153" i="14"/>
  <c r="BF153" i="14"/>
  <c r="BG153" i="14"/>
  <c r="BH153" i="14"/>
  <c r="BI153" i="14"/>
  <c r="BJ153" i="14"/>
  <c r="BK153" i="14"/>
  <c r="BL153" i="14"/>
  <c r="BM153" i="14"/>
  <c r="BN153" i="14"/>
  <c r="BO153" i="14"/>
  <c r="AT154" i="14"/>
  <c r="AU154" i="14"/>
  <c r="AV154" i="14"/>
  <c r="AW154" i="14"/>
  <c r="AX154" i="14"/>
  <c r="AY154" i="14"/>
  <c r="AZ154" i="14"/>
  <c r="BA154" i="14"/>
  <c r="BB154" i="14"/>
  <c r="BC154" i="14"/>
  <c r="BD154" i="14"/>
  <c r="BE154" i="14"/>
  <c r="BF154" i="14"/>
  <c r="BG154" i="14"/>
  <c r="BH154" i="14"/>
  <c r="BI154" i="14"/>
  <c r="BJ154" i="14"/>
  <c r="BK154" i="14"/>
  <c r="BL154" i="14"/>
  <c r="BM154" i="14"/>
  <c r="BN154" i="14"/>
  <c r="BO154" i="14"/>
  <c r="AT155" i="14"/>
  <c r="AU155" i="14"/>
  <c r="AV155" i="14"/>
  <c r="AW155" i="14"/>
  <c r="AX155" i="14"/>
  <c r="AY155" i="14"/>
  <c r="AZ155" i="14"/>
  <c r="BA155" i="14"/>
  <c r="BB155" i="14"/>
  <c r="BC155" i="14"/>
  <c r="BD155" i="14"/>
  <c r="BE155" i="14"/>
  <c r="BF155" i="14"/>
  <c r="BG155" i="14"/>
  <c r="BH155" i="14"/>
  <c r="BI155" i="14"/>
  <c r="BJ155" i="14"/>
  <c r="BK155" i="14"/>
  <c r="BL155" i="14"/>
  <c r="BM155" i="14"/>
  <c r="BN155" i="14"/>
  <c r="BO155" i="14"/>
  <c r="BP155" i="14"/>
  <c r="AT156" i="14"/>
  <c r="AU156" i="14"/>
  <c r="AV156" i="14"/>
  <c r="AW156" i="14"/>
  <c r="AX156" i="14"/>
  <c r="AY156" i="14"/>
  <c r="AZ156" i="14"/>
  <c r="BB156" i="14"/>
  <c r="BC156" i="14"/>
  <c r="BD156" i="14"/>
  <c r="BE156" i="14"/>
  <c r="BF156" i="14"/>
  <c r="BG156" i="14"/>
  <c r="BH156" i="14"/>
  <c r="BI156" i="14"/>
  <c r="BJ156" i="14"/>
  <c r="BK156" i="14"/>
  <c r="BL156" i="14"/>
  <c r="BM156" i="14"/>
  <c r="BN156" i="14"/>
  <c r="BO156" i="14"/>
  <c r="BP156" i="14"/>
  <c r="AU157" i="14"/>
  <c r="AV157" i="14"/>
  <c r="AW157" i="14"/>
  <c r="AX157" i="14"/>
  <c r="AY157" i="14"/>
  <c r="AZ157" i="14"/>
  <c r="BA157" i="14"/>
  <c r="BB157" i="14"/>
  <c r="BC157" i="14"/>
  <c r="BD157" i="14"/>
  <c r="BE157" i="14"/>
  <c r="BF157" i="14"/>
  <c r="BG157" i="14"/>
  <c r="BH157" i="14"/>
  <c r="BI157" i="14"/>
  <c r="BJ157" i="14"/>
  <c r="BK157" i="14"/>
  <c r="BL157" i="14"/>
  <c r="BM157" i="14"/>
  <c r="BN157" i="14"/>
  <c r="BO157" i="14"/>
  <c r="BP157" i="14"/>
  <c r="BQ157" i="14"/>
  <c r="AU158" i="14"/>
  <c r="AV158" i="14"/>
  <c r="AW158" i="14"/>
  <c r="AX158" i="14"/>
  <c r="AY158" i="14"/>
  <c r="AZ158" i="14"/>
  <c r="BA158" i="14"/>
  <c r="BB158" i="14"/>
  <c r="BC158" i="14"/>
  <c r="BD158" i="14"/>
  <c r="BE158" i="14"/>
  <c r="BF158" i="14"/>
  <c r="BG158" i="14"/>
  <c r="BH158" i="14"/>
  <c r="BI158" i="14"/>
  <c r="BJ158" i="14"/>
  <c r="BK158" i="14"/>
  <c r="BL158" i="14"/>
  <c r="BM158" i="14"/>
  <c r="BN158" i="14"/>
  <c r="BO158" i="14"/>
  <c r="BP158" i="14"/>
  <c r="BQ158" i="14"/>
  <c r="AU159" i="14"/>
  <c r="AV159" i="14"/>
  <c r="AW159" i="14"/>
  <c r="AX159" i="14"/>
  <c r="AY159" i="14"/>
  <c r="AZ159" i="14"/>
  <c r="BA159" i="14"/>
  <c r="BB159" i="14"/>
  <c r="BC159" i="14"/>
  <c r="BD159" i="14"/>
  <c r="BE159" i="14"/>
  <c r="BF159" i="14"/>
  <c r="BG159" i="14"/>
  <c r="BH159" i="14"/>
  <c r="BI159" i="14"/>
  <c r="BJ159" i="14"/>
  <c r="BK159" i="14"/>
  <c r="BL159" i="14"/>
  <c r="BM159" i="14"/>
  <c r="BN159" i="14"/>
  <c r="BO159" i="14"/>
  <c r="BP159" i="14"/>
  <c r="BQ159" i="14"/>
  <c r="AU160" i="14"/>
  <c r="AV160" i="14"/>
  <c r="AW160" i="14"/>
  <c r="AX160" i="14"/>
  <c r="AY160" i="14"/>
  <c r="AZ160" i="14"/>
  <c r="BA160" i="14"/>
  <c r="BB160" i="14"/>
  <c r="BC160" i="14"/>
  <c r="BD160" i="14"/>
  <c r="BE160" i="14"/>
  <c r="BF160" i="14"/>
  <c r="BG160" i="14"/>
  <c r="BH160" i="14"/>
  <c r="BI160" i="14"/>
  <c r="BJ160" i="14"/>
  <c r="BK160" i="14"/>
  <c r="BL160" i="14"/>
  <c r="BM160" i="14"/>
  <c r="BN160" i="14"/>
  <c r="BO160" i="14"/>
  <c r="BP160" i="14"/>
  <c r="BQ160" i="14"/>
  <c r="BR160" i="14"/>
  <c r="AU161" i="14"/>
  <c r="AV161" i="14"/>
  <c r="AW161" i="14"/>
  <c r="AX161" i="14"/>
  <c r="AY161" i="14"/>
  <c r="AZ161" i="14"/>
  <c r="BA161" i="14"/>
  <c r="BB161" i="14"/>
  <c r="BC161" i="14"/>
  <c r="BD161" i="14"/>
  <c r="BE161" i="14"/>
  <c r="BF161" i="14"/>
  <c r="BG161" i="14"/>
  <c r="BH161" i="14"/>
  <c r="BI161" i="14"/>
  <c r="BJ161" i="14"/>
  <c r="BK161" i="14"/>
  <c r="BL161" i="14"/>
  <c r="BM161" i="14"/>
  <c r="BN161" i="14"/>
  <c r="BO161" i="14"/>
  <c r="BP161" i="14"/>
  <c r="BQ161" i="14"/>
  <c r="BR161" i="14"/>
  <c r="AU162" i="14"/>
  <c r="AV162" i="14"/>
  <c r="AW162" i="14"/>
  <c r="AX162" i="14"/>
  <c r="AY162" i="14"/>
  <c r="AZ162" i="14"/>
  <c r="BA162" i="14"/>
  <c r="BB162" i="14"/>
  <c r="BC162" i="14"/>
  <c r="BD162" i="14"/>
  <c r="BE162" i="14"/>
  <c r="BF162" i="14"/>
  <c r="BG162" i="14"/>
  <c r="BH162" i="14"/>
  <c r="BI162" i="14"/>
  <c r="BJ162" i="14"/>
  <c r="BK162" i="14"/>
  <c r="BL162" i="14"/>
  <c r="BM162" i="14"/>
  <c r="BN162" i="14"/>
  <c r="BO162" i="14"/>
  <c r="BP162" i="14"/>
  <c r="BQ162" i="14"/>
  <c r="BR162" i="14"/>
  <c r="BS162" i="14"/>
  <c r="AW163" i="14"/>
  <c r="AX163" i="14"/>
  <c r="AY163" i="14"/>
  <c r="AZ163" i="14"/>
  <c r="BA163" i="14"/>
  <c r="BC163" i="14"/>
  <c r="BD163" i="14"/>
  <c r="BE163" i="14"/>
  <c r="BF163" i="14"/>
  <c r="BG163" i="14"/>
  <c r="BH163" i="14"/>
  <c r="BI163" i="14"/>
  <c r="BJ163" i="14"/>
  <c r="BK163" i="14"/>
  <c r="BL163" i="14"/>
  <c r="BM163" i="14"/>
  <c r="BN163" i="14"/>
  <c r="BO163" i="14"/>
  <c r="BP163" i="14"/>
  <c r="BQ163" i="14"/>
  <c r="BR163" i="14"/>
  <c r="BS163" i="14"/>
  <c r="AW164" i="14"/>
  <c r="AX164" i="14"/>
  <c r="AY164" i="14"/>
  <c r="AZ164" i="14"/>
  <c r="BA164" i="14"/>
  <c r="BB164" i="14"/>
  <c r="BC164" i="14"/>
  <c r="BD164" i="14"/>
  <c r="BE164" i="14"/>
  <c r="BF164" i="14"/>
  <c r="BG164" i="14"/>
  <c r="BH164" i="14"/>
  <c r="BI164" i="14"/>
  <c r="BJ164" i="14"/>
  <c r="BK164" i="14"/>
  <c r="BL164" i="14"/>
  <c r="BM164" i="14"/>
  <c r="BN164" i="14"/>
  <c r="BO164" i="14"/>
  <c r="BP164" i="14"/>
  <c r="BQ164" i="14"/>
  <c r="BR164" i="14"/>
  <c r="BS164" i="14"/>
  <c r="BT164" i="14"/>
  <c r="AW165" i="14"/>
  <c r="AX165" i="14"/>
  <c r="AY165" i="14"/>
  <c r="AZ165" i="14"/>
  <c r="BA165" i="14"/>
  <c r="BB165" i="14"/>
  <c r="BC165" i="14"/>
  <c r="BD165" i="14"/>
  <c r="BE165" i="14"/>
  <c r="BF165" i="14"/>
  <c r="BG165" i="14"/>
  <c r="BH165" i="14"/>
  <c r="BI165" i="14"/>
  <c r="BJ165" i="14"/>
  <c r="BK165" i="14"/>
  <c r="BL165" i="14"/>
  <c r="BM165" i="14"/>
  <c r="BN165" i="14"/>
  <c r="BO165" i="14"/>
  <c r="BP165" i="14"/>
  <c r="BQ165" i="14"/>
  <c r="BR165" i="14"/>
  <c r="BS165" i="14"/>
  <c r="BT165" i="14"/>
  <c r="AW166" i="14"/>
  <c r="AX166" i="14"/>
  <c r="AY166" i="14"/>
  <c r="AZ166" i="14"/>
  <c r="BA166" i="14"/>
  <c r="BB166" i="14"/>
  <c r="BC166" i="14"/>
  <c r="BD166" i="14"/>
  <c r="BE166" i="14"/>
  <c r="BF166" i="14"/>
  <c r="BG166" i="14"/>
  <c r="BH166" i="14"/>
  <c r="BI166" i="14"/>
  <c r="BJ166" i="14"/>
  <c r="BK166" i="14"/>
  <c r="BL166" i="14"/>
  <c r="BM166" i="14"/>
  <c r="BN166" i="14"/>
  <c r="BO166" i="14"/>
  <c r="BP166" i="14"/>
  <c r="BQ166" i="14"/>
  <c r="BR166" i="14"/>
  <c r="BS166" i="14"/>
  <c r="BT166" i="14"/>
  <c r="AW167" i="14"/>
  <c r="AX167" i="14"/>
  <c r="AY167" i="14"/>
  <c r="AZ167" i="14"/>
  <c r="BA167" i="14"/>
  <c r="BB167" i="14"/>
  <c r="BC167" i="14"/>
  <c r="BE167" i="14"/>
  <c r="BF167" i="14"/>
  <c r="BG167" i="14"/>
  <c r="BH167" i="14"/>
  <c r="BI167" i="14"/>
  <c r="BJ167" i="14"/>
  <c r="BK167" i="14"/>
  <c r="BL167" i="14"/>
  <c r="BM167" i="14"/>
  <c r="BN167" i="14"/>
  <c r="BO167" i="14"/>
  <c r="BP167" i="14"/>
  <c r="BQ167" i="14"/>
  <c r="BR167" i="14"/>
  <c r="BS167" i="14"/>
  <c r="BT167" i="14"/>
  <c r="AW168" i="14"/>
  <c r="AX168" i="14"/>
  <c r="AY168" i="14"/>
  <c r="AZ168" i="14"/>
  <c r="BA168" i="14"/>
  <c r="BB168" i="14"/>
  <c r="BC168" i="14"/>
  <c r="BD168" i="14"/>
  <c r="BE168" i="14"/>
  <c r="BF168" i="14"/>
  <c r="BG168" i="14"/>
  <c r="BH168" i="14"/>
  <c r="BI168" i="14"/>
  <c r="BJ168" i="14"/>
  <c r="BK168" i="14"/>
  <c r="BL168" i="14"/>
  <c r="BM168" i="14"/>
  <c r="BN168" i="14"/>
  <c r="BO168" i="14"/>
  <c r="BP168" i="14"/>
  <c r="BQ168" i="14"/>
  <c r="BR168" i="14"/>
  <c r="BS168" i="14"/>
  <c r="BT168" i="14"/>
  <c r="AW169" i="14"/>
  <c r="AX169" i="14"/>
  <c r="AY169" i="14"/>
  <c r="AZ169" i="14"/>
  <c r="BA169" i="14"/>
  <c r="BB169" i="14"/>
  <c r="BC169" i="14"/>
  <c r="BD169" i="14"/>
  <c r="BE169" i="14"/>
  <c r="BF169" i="14"/>
  <c r="BG169" i="14"/>
  <c r="BH169" i="14"/>
  <c r="BI169" i="14"/>
  <c r="BJ169" i="14"/>
  <c r="BK169" i="14"/>
  <c r="BL169" i="14"/>
  <c r="BM169" i="14"/>
  <c r="BN169" i="14"/>
  <c r="BO169" i="14"/>
  <c r="BP169" i="14"/>
  <c r="BQ169" i="14"/>
  <c r="BR169" i="14"/>
  <c r="BS169" i="14"/>
  <c r="BT169" i="14"/>
  <c r="AW170" i="14"/>
  <c r="AX170" i="14"/>
  <c r="AY170" i="14"/>
  <c r="AZ170" i="14"/>
  <c r="BA170" i="14"/>
  <c r="BB170" i="14"/>
  <c r="BC170" i="14"/>
  <c r="BD170" i="14"/>
  <c r="BE170" i="14"/>
  <c r="BF170" i="14"/>
  <c r="BG170" i="14"/>
  <c r="BH170" i="14"/>
  <c r="BI170" i="14"/>
  <c r="BJ170" i="14"/>
  <c r="BK170" i="14"/>
  <c r="BL170" i="14"/>
  <c r="BM170" i="14"/>
  <c r="BN170" i="14"/>
  <c r="BO170" i="14"/>
  <c r="BP170" i="14"/>
  <c r="BQ170" i="14"/>
  <c r="BR170" i="14"/>
  <c r="BS170" i="14"/>
  <c r="BT170" i="14"/>
  <c r="AX171" i="14"/>
  <c r="AY171" i="14"/>
  <c r="AZ171" i="14"/>
  <c r="BA171" i="14"/>
  <c r="BB171" i="14"/>
  <c r="BC171" i="14"/>
  <c r="BD171" i="14"/>
  <c r="BE171" i="14"/>
  <c r="BF171" i="14"/>
  <c r="BG171" i="14"/>
  <c r="BH171" i="14"/>
  <c r="BI171" i="14"/>
  <c r="BJ171" i="14"/>
  <c r="BK171" i="14"/>
  <c r="BL171" i="14"/>
  <c r="BM171" i="14"/>
  <c r="BN171" i="14"/>
  <c r="BO171" i="14"/>
  <c r="BP171" i="14"/>
  <c r="BQ171" i="14"/>
  <c r="BR171" i="14"/>
  <c r="BS171" i="14"/>
  <c r="BT171" i="14"/>
  <c r="AX172" i="14"/>
  <c r="AY172" i="14"/>
  <c r="AZ172" i="14"/>
  <c r="BA172" i="14"/>
  <c r="BB172" i="14"/>
  <c r="BC172" i="14"/>
  <c r="BD172" i="14"/>
  <c r="BE172" i="14"/>
  <c r="BF172" i="14"/>
  <c r="BG172" i="14"/>
  <c r="BH172" i="14"/>
  <c r="BI172" i="14"/>
  <c r="BJ172" i="14"/>
  <c r="BK172" i="14"/>
  <c r="BL172" i="14"/>
  <c r="BM172" i="14"/>
  <c r="BN172" i="14"/>
  <c r="BO172" i="14"/>
  <c r="BP172" i="14"/>
  <c r="BQ172" i="14"/>
  <c r="BR172" i="14"/>
  <c r="BS172" i="14"/>
  <c r="BT172" i="14"/>
  <c r="AX173" i="14"/>
  <c r="AY173" i="14"/>
  <c r="AZ173" i="14"/>
  <c r="BA173" i="14"/>
  <c r="BB173" i="14"/>
  <c r="BC173" i="14"/>
  <c r="BD173" i="14"/>
  <c r="BE173" i="14"/>
  <c r="BF173" i="14"/>
  <c r="BG173" i="14"/>
  <c r="BH173" i="14"/>
  <c r="BI173" i="14"/>
  <c r="BJ173" i="14"/>
  <c r="BK173" i="14"/>
  <c r="BL173" i="14"/>
  <c r="BM173" i="14"/>
  <c r="BN173" i="14"/>
  <c r="BO173" i="14"/>
  <c r="BP173" i="14"/>
  <c r="BQ173" i="14"/>
  <c r="BR173" i="14"/>
  <c r="BS173" i="14"/>
  <c r="BT173" i="14"/>
  <c r="AX174" i="14"/>
  <c r="AY174" i="14"/>
  <c r="AZ174" i="14"/>
  <c r="BA174" i="14"/>
  <c r="BB174" i="14"/>
  <c r="BC174" i="14"/>
  <c r="BD174" i="14"/>
  <c r="BE174" i="14"/>
  <c r="BF174" i="14"/>
  <c r="BG174" i="14"/>
  <c r="BH174" i="14"/>
  <c r="BI174" i="14"/>
  <c r="BJ174" i="14"/>
  <c r="BK174" i="14"/>
  <c r="BL174" i="14"/>
  <c r="BM174" i="14"/>
  <c r="BN174" i="14"/>
  <c r="BO174" i="14"/>
  <c r="BP174" i="14"/>
  <c r="BQ174" i="14"/>
  <c r="BR174" i="14"/>
  <c r="BS174" i="14"/>
  <c r="BT174" i="14"/>
  <c r="AX175" i="14"/>
  <c r="AY175" i="14"/>
  <c r="AZ175" i="14"/>
  <c r="BA175" i="14"/>
  <c r="BB175" i="14"/>
  <c r="BC175" i="14"/>
  <c r="BD175" i="14"/>
  <c r="BE175" i="14"/>
  <c r="BF175" i="14"/>
  <c r="BG175" i="14"/>
  <c r="BH175" i="14"/>
  <c r="BI175" i="14"/>
  <c r="BJ175" i="14"/>
  <c r="BK175" i="14"/>
  <c r="BL175" i="14"/>
  <c r="BM175" i="14"/>
  <c r="BN175" i="14"/>
  <c r="BO175" i="14"/>
  <c r="BP175" i="14"/>
  <c r="BQ175" i="14"/>
  <c r="BR175" i="14"/>
  <c r="BS175" i="14"/>
  <c r="BT175" i="14"/>
  <c r="AY176" i="14"/>
  <c r="AZ176" i="14"/>
  <c r="BA176" i="14"/>
  <c r="BB176" i="14"/>
  <c r="BC176" i="14"/>
  <c r="BD176" i="14"/>
  <c r="BE176" i="14"/>
  <c r="BF176" i="14"/>
  <c r="BG176" i="14"/>
  <c r="BH176" i="14"/>
  <c r="BI176" i="14"/>
  <c r="BJ176" i="14"/>
  <c r="BK176" i="14"/>
  <c r="BL176" i="14"/>
  <c r="BM176" i="14"/>
  <c r="BN176" i="14"/>
  <c r="BO176" i="14"/>
  <c r="BP176" i="14"/>
  <c r="BQ176" i="14"/>
  <c r="BR176" i="14"/>
  <c r="BS176" i="14"/>
  <c r="BT176" i="14"/>
  <c r="BU176" i="14"/>
  <c r="AY177" i="14"/>
  <c r="AZ177" i="14"/>
  <c r="BA177" i="14"/>
  <c r="BB177" i="14"/>
  <c r="BC177" i="14"/>
  <c r="BD177" i="14"/>
  <c r="BF177" i="14"/>
  <c r="BG177" i="14"/>
  <c r="BH177" i="14"/>
  <c r="BI177" i="14"/>
  <c r="BJ177" i="14"/>
  <c r="BK177" i="14"/>
  <c r="BL177" i="14"/>
  <c r="BM177" i="14"/>
  <c r="BN177" i="14"/>
  <c r="BO177" i="14"/>
  <c r="BP177" i="14"/>
  <c r="BQ177" i="14"/>
  <c r="BR177" i="14"/>
  <c r="BS177" i="14"/>
  <c r="BT177" i="14"/>
  <c r="BU177" i="14"/>
  <c r="AZ178" i="14"/>
  <c r="BA178" i="14"/>
  <c r="BB178" i="14"/>
  <c r="BC178" i="14"/>
  <c r="BD178" i="14"/>
  <c r="BE178" i="14"/>
  <c r="BF178" i="14"/>
  <c r="BG178" i="14"/>
  <c r="BH178" i="14"/>
  <c r="BI178" i="14"/>
  <c r="BJ178" i="14"/>
  <c r="BK178" i="14"/>
  <c r="BL178" i="14"/>
  <c r="BM178" i="14"/>
  <c r="BN178" i="14"/>
  <c r="BO178" i="14"/>
  <c r="BP178" i="14"/>
  <c r="BQ178" i="14"/>
  <c r="BR178" i="14"/>
  <c r="BS178" i="14"/>
  <c r="BT178" i="14"/>
  <c r="BU178" i="14"/>
  <c r="AZ179" i="14"/>
  <c r="BA179" i="14"/>
  <c r="BB179" i="14"/>
  <c r="BC179" i="14"/>
  <c r="BD179" i="14"/>
  <c r="BE179" i="14"/>
  <c r="BF179" i="14"/>
  <c r="BG179" i="14"/>
  <c r="BH179" i="14"/>
  <c r="BI179" i="14"/>
  <c r="BJ179" i="14"/>
  <c r="BK179" i="14"/>
  <c r="BL179" i="14"/>
  <c r="BM179" i="14"/>
  <c r="BN179" i="14"/>
  <c r="BO179" i="14"/>
  <c r="BP179" i="14"/>
  <c r="BQ179" i="14"/>
  <c r="BR179" i="14"/>
  <c r="BS179" i="14"/>
  <c r="BT179" i="14"/>
  <c r="BU179" i="14"/>
  <c r="AZ180" i="14"/>
  <c r="BA180" i="14"/>
  <c r="BB180" i="14"/>
  <c r="BC180" i="14"/>
  <c r="BD180" i="14"/>
  <c r="BE180" i="14"/>
  <c r="BF180" i="14"/>
  <c r="BG180" i="14"/>
  <c r="BH180" i="14"/>
  <c r="BI180" i="14"/>
  <c r="BJ180" i="14"/>
  <c r="BK180" i="14"/>
  <c r="BL180" i="14"/>
  <c r="BM180" i="14"/>
  <c r="BN180" i="14"/>
  <c r="BO180" i="14"/>
  <c r="BP180" i="14"/>
  <c r="BQ180" i="14"/>
  <c r="BR180" i="14"/>
  <c r="BS180" i="14"/>
  <c r="BT180" i="14"/>
  <c r="BU180" i="14"/>
  <c r="AZ181" i="14"/>
  <c r="BA181" i="14"/>
  <c r="BB181" i="14"/>
  <c r="BC181" i="14"/>
  <c r="BD181" i="14"/>
  <c r="BE181" i="14"/>
  <c r="BG181" i="14"/>
  <c r="BH181" i="14"/>
  <c r="BI181" i="14"/>
  <c r="BJ181" i="14"/>
  <c r="BK181" i="14"/>
  <c r="BL181" i="14"/>
  <c r="BM181" i="14"/>
  <c r="BN181" i="14"/>
  <c r="BO181" i="14"/>
  <c r="BP181" i="14"/>
  <c r="BQ181" i="14"/>
  <c r="BR181" i="14"/>
  <c r="BS181" i="14"/>
  <c r="BT181" i="14"/>
  <c r="BU181" i="14"/>
  <c r="AZ182" i="14"/>
  <c r="BA182" i="14"/>
  <c r="BB182" i="14"/>
  <c r="BC182" i="14"/>
  <c r="BD182" i="14"/>
  <c r="BE182" i="14"/>
  <c r="BF182" i="14"/>
  <c r="BG182" i="14"/>
  <c r="BH182" i="14"/>
  <c r="BI182" i="14"/>
  <c r="BJ182" i="14"/>
  <c r="BK182" i="14"/>
  <c r="BL182" i="14"/>
  <c r="BM182" i="14"/>
  <c r="BN182" i="14"/>
  <c r="BO182" i="14"/>
  <c r="BP182" i="14"/>
  <c r="BQ182" i="14"/>
  <c r="BR182" i="14"/>
  <c r="BS182" i="14"/>
  <c r="BT182" i="14"/>
  <c r="BU182" i="14"/>
  <c r="BV182" i="14"/>
  <c r="AZ183" i="14"/>
  <c r="BA183" i="14"/>
  <c r="BB183" i="14"/>
  <c r="BC183" i="14"/>
  <c r="BD183" i="14"/>
  <c r="BE183" i="14"/>
  <c r="BF183" i="14"/>
  <c r="BG183" i="14"/>
  <c r="BH183" i="14"/>
  <c r="BI183" i="14"/>
  <c r="BJ183" i="14"/>
  <c r="BK183" i="14"/>
  <c r="BL183" i="14"/>
  <c r="BM183" i="14"/>
  <c r="BN183" i="14"/>
  <c r="BO183" i="14"/>
  <c r="BP183" i="14"/>
  <c r="BQ183" i="14"/>
  <c r="BR183" i="14"/>
  <c r="BS183" i="14"/>
  <c r="BT183" i="14"/>
  <c r="BU183" i="14"/>
  <c r="BV183" i="14"/>
  <c r="BA184" i="14"/>
  <c r="BB184" i="14"/>
  <c r="BC184" i="14"/>
  <c r="BD184" i="14"/>
  <c r="BE184" i="14"/>
  <c r="BF184" i="14"/>
  <c r="BG184" i="14"/>
  <c r="BH184" i="14"/>
  <c r="BI184" i="14"/>
  <c r="BJ184" i="14"/>
  <c r="BK184" i="14"/>
  <c r="BL184" i="14"/>
  <c r="BM184" i="14"/>
  <c r="BN184" i="14"/>
  <c r="BO184" i="14"/>
  <c r="BP184" i="14"/>
  <c r="BQ184" i="14"/>
  <c r="BR184" i="14"/>
  <c r="BS184" i="14"/>
  <c r="BT184" i="14"/>
  <c r="BU184" i="14"/>
  <c r="BV184" i="14"/>
  <c r="BW184" i="14"/>
  <c r="BA185" i="14"/>
  <c r="BB185" i="14"/>
  <c r="BC185" i="14"/>
  <c r="BD185" i="14"/>
  <c r="BE185" i="14"/>
  <c r="BF185" i="14"/>
  <c r="BG185" i="14"/>
  <c r="BH185" i="14"/>
  <c r="BI185" i="14"/>
  <c r="BJ185" i="14"/>
  <c r="BK185" i="14"/>
  <c r="BL185" i="14"/>
  <c r="BM185" i="14"/>
  <c r="BN185" i="14"/>
  <c r="BO185" i="14"/>
  <c r="BP185" i="14"/>
  <c r="BQ185" i="14"/>
  <c r="BR185" i="14"/>
  <c r="BS185" i="14"/>
  <c r="BT185" i="14"/>
  <c r="BU185" i="14"/>
  <c r="BV185" i="14"/>
  <c r="BW185" i="14"/>
  <c r="BA186" i="14"/>
  <c r="BB186" i="14"/>
  <c r="BC186" i="14"/>
  <c r="BD186" i="14"/>
  <c r="BE186" i="14"/>
  <c r="BF186" i="14"/>
  <c r="BG186" i="14"/>
  <c r="BH186" i="14"/>
  <c r="BI186" i="14"/>
  <c r="BJ186" i="14"/>
  <c r="BK186" i="14"/>
  <c r="BL186" i="14"/>
  <c r="BM186" i="14"/>
  <c r="BN186" i="14"/>
  <c r="BO186" i="14"/>
  <c r="BP186" i="14"/>
  <c r="BQ186" i="14"/>
  <c r="BR186" i="14"/>
  <c r="BS186" i="14"/>
  <c r="BT186" i="14"/>
  <c r="BU186" i="14"/>
  <c r="BV186" i="14"/>
  <c r="BW186" i="14"/>
  <c r="BA187" i="14"/>
  <c r="BB187" i="14"/>
  <c r="BC187" i="14"/>
  <c r="BD187" i="14"/>
  <c r="BE187" i="14"/>
  <c r="BF187" i="14"/>
  <c r="BG187" i="14"/>
  <c r="BI187" i="14"/>
  <c r="BJ187" i="14"/>
  <c r="BK187" i="14"/>
  <c r="BL187" i="14"/>
  <c r="BM187" i="14"/>
  <c r="BN187" i="14"/>
  <c r="BO187" i="14"/>
  <c r="BP187" i="14"/>
  <c r="BQ187" i="14"/>
  <c r="BR187" i="14"/>
  <c r="BS187" i="14"/>
  <c r="BT187" i="14"/>
  <c r="BU187" i="14"/>
  <c r="BV187" i="14"/>
  <c r="BW187" i="14"/>
  <c r="BA188" i="14"/>
  <c r="BB188" i="14"/>
  <c r="BC188" i="14"/>
  <c r="BD188" i="14"/>
  <c r="BE188" i="14"/>
  <c r="BF188" i="14"/>
  <c r="BG188" i="14"/>
  <c r="BH188" i="14"/>
  <c r="BI188" i="14"/>
  <c r="BJ188" i="14"/>
  <c r="BK188" i="14"/>
  <c r="BL188" i="14"/>
  <c r="BM188" i="14"/>
  <c r="BN188" i="14"/>
  <c r="BO188" i="14"/>
  <c r="BP188" i="14"/>
  <c r="BQ188" i="14"/>
  <c r="BR188" i="14"/>
  <c r="BS188" i="14"/>
  <c r="BT188" i="14"/>
  <c r="BU188" i="14"/>
  <c r="BV188" i="14"/>
  <c r="BW188" i="14"/>
  <c r="BX188" i="14"/>
  <c r="BB189" i="14"/>
  <c r="BC189" i="14"/>
  <c r="BD189" i="14"/>
  <c r="BE189" i="14"/>
  <c r="BF189" i="14"/>
  <c r="BG189" i="14"/>
  <c r="BH189" i="14"/>
  <c r="BI189" i="14"/>
  <c r="BJ189" i="14"/>
  <c r="BK189" i="14"/>
  <c r="BL189" i="14"/>
  <c r="BM189" i="14"/>
  <c r="BN189" i="14"/>
  <c r="BO189" i="14"/>
  <c r="BP189" i="14"/>
  <c r="BQ189" i="14"/>
  <c r="BR189" i="14"/>
  <c r="BS189" i="14"/>
  <c r="BT189" i="14"/>
  <c r="BU189" i="14"/>
  <c r="BV189" i="14"/>
  <c r="BW189" i="14"/>
  <c r="BX189" i="14"/>
  <c r="BB190" i="14"/>
  <c r="BC190" i="14"/>
  <c r="BD190" i="14"/>
  <c r="BE190" i="14"/>
  <c r="BF190" i="14"/>
  <c r="BG190" i="14"/>
  <c r="BH190" i="14"/>
  <c r="BI190" i="14"/>
  <c r="BJ190" i="14"/>
  <c r="BK190" i="14"/>
  <c r="BL190" i="14"/>
  <c r="BM190" i="14"/>
  <c r="BN190" i="14"/>
  <c r="BO190" i="14"/>
  <c r="BP190" i="14"/>
  <c r="BQ190" i="14"/>
  <c r="BR190" i="14"/>
  <c r="BS190" i="14"/>
  <c r="BT190" i="14"/>
  <c r="BU190" i="14"/>
  <c r="BV190" i="14"/>
  <c r="BW190" i="14"/>
  <c r="BX190" i="14"/>
  <c r="BB191" i="14"/>
  <c r="BC191" i="14"/>
  <c r="BD191" i="14"/>
  <c r="BE191" i="14"/>
  <c r="BF191" i="14"/>
  <c r="BG191" i="14"/>
  <c r="BH191" i="14"/>
  <c r="BJ191" i="14"/>
  <c r="BK191" i="14"/>
  <c r="BL191" i="14"/>
  <c r="BM191" i="14"/>
  <c r="BN191" i="14"/>
  <c r="BO191" i="14"/>
  <c r="BP191" i="14"/>
  <c r="BQ191" i="14"/>
  <c r="BR191" i="14"/>
  <c r="BS191" i="14"/>
  <c r="BT191" i="14"/>
  <c r="BU191" i="14"/>
  <c r="BV191" i="14"/>
  <c r="BW191" i="14"/>
  <c r="BX191" i="14"/>
  <c r="BB192" i="14"/>
  <c r="BC192" i="14"/>
  <c r="BD192" i="14"/>
  <c r="BE192" i="14"/>
  <c r="BF192" i="14"/>
  <c r="BG192" i="14"/>
  <c r="BH192" i="14"/>
  <c r="BI192" i="14"/>
  <c r="BJ192" i="14"/>
  <c r="BK192" i="14"/>
  <c r="BL192" i="14"/>
  <c r="BM192" i="14"/>
  <c r="BN192" i="14"/>
  <c r="BO192" i="14"/>
  <c r="BP192" i="14"/>
  <c r="BQ192" i="14"/>
  <c r="BR192" i="14"/>
  <c r="BS192" i="14"/>
  <c r="BT192" i="14"/>
  <c r="BU192" i="14"/>
  <c r="BV192" i="14"/>
  <c r="BW192" i="14"/>
  <c r="BX192" i="14"/>
  <c r="BB193" i="14"/>
  <c r="BC193" i="14"/>
  <c r="BD193" i="14"/>
  <c r="BE193" i="14"/>
  <c r="BF193" i="14"/>
  <c r="BG193" i="14"/>
  <c r="BH193" i="14"/>
  <c r="BI193" i="14"/>
  <c r="BJ193" i="14"/>
  <c r="BK193" i="14"/>
  <c r="BL193" i="14"/>
  <c r="BM193" i="14"/>
  <c r="BN193" i="14"/>
  <c r="BO193" i="14"/>
  <c r="BP193" i="14"/>
  <c r="BQ193" i="14"/>
  <c r="BR193" i="14"/>
  <c r="BS193" i="14"/>
  <c r="BT193" i="14"/>
  <c r="BU193" i="14"/>
  <c r="BV193" i="14"/>
  <c r="BW193" i="14"/>
  <c r="BX193" i="14"/>
  <c r="BY193" i="14"/>
  <c r="BB194" i="14"/>
  <c r="BC194" i="14"/>
  <c r="BD194" i="14"/>
  <c r="BE194" i="14"/>
  <c r="BF194" i="14"/>
  <c r="BG194" i="14"/>
  <c r="BH194" i="14"/>
  <c r="BI194" i="14"/>
  <c r="BJ194" i="14"/>
  <c r="BK194" i="14"/>
  <c r="BL194" i="14"/>
  <c r="BM194" i="14"/>
  <c r="BN194" i="14"/>
  <c r="BO194" i="14"/>
  <c r="BP194" i="14"/>
  <c r="BQ194" i="14"/>
  <c r="BR194" i="14"/>
  <c r="BS194" i="14"/>
  <c r="BT194" i="14"/>
  <c r="BU194" i="14"/>
  <c r="BV194" i="14"/>
  <c r="BW194" i="14"/>
  <c r="BX194" i="14"/>
  <c r="BY194" i="14"/>
  <c r="BB195" i="14"/>
  <c r="BC195" i="14"/>
  <c r="BD195" i="14"/>
  <c r="BE195" i="14"/>
  <c r="BF195" i="14"/>
  <c r="BG195" i="14"/>
  <c r="BH195" i="14"/>
  <c r="BI195" i="14"/>
  <c r="BJ195" i="14"/>
  <c r="BK195" i="14"/>
  <c r="BL195" i="14"/>
  <c r="BM195" i="14"/>
  <c r="BN195" i="14"/>
  <c r="BO195" i="14"/>
  <c r="BP195" i="14"/>
  <c r="BQ195" i="14"/>
  <c r="BR195" i="14"/>
  <c r="BS195" i="14"/>
  <c r="BT195" i="14"/>
  <c r="BU195" i="14"/>
  <c r="BV195" i="14"/>
  <c r="BW195" i="14"/>
  <c r="BX195" i="14"/>
  <c r="BY195" i="14"/>
  <c r="BB196" i="14"/>
  <c r="BC196" i="14"/>
  <c r="BD196" i="14"/>
  <c r="BE196" i="14"/>
  <c r="BF196" i="14"/>
  <c r="BG196" i="14"/>
  <c r="BH196" i="14"/>
  <c r="BI196" i="14"/>
  <c r="BJ196" i="14"/>
  <c r="BK196" i="14"/>
  <c r="BL196" i="14"/>
  <c r="BM196" i="14"/>
  <c r="BN196" i="14"/>
  <c r="BO196" i="14"/>
  <c r="BP196" i="14"/>
  <c r="BQ196" i="14"/>
  <c r="BR196" i="14"/>
  <c r="BS196" i="14"/>
  <c r="BT196" i="14"/>
  <c r="BU196" i="14"/>
  <c r="BV196" i="14"/>
  <c r="BW196" i="14"/>
  <c r="BX196" i="14"/>
  <c r="BY196" i="14"/>
  <c r="BB197" i="14"/>
  <c r="BC197" i="14"/>
  <c r="BD197" i="14"/>
  <c r="BE197" i="14"/>
  <c r="BF197" i="14"/>
  <c r="BG197" i="14"/>
  <c r="BH197" i="14"/>
  <c r="BI197" i="14"/>
  <c r="BJ197" i="14"/>
  <c r="BK197" i="14"/>
  <c r="BL197" i="14"/>
  <c r="BM197" i="14"/>
  <c r="BN197" i="14"/>
  <c r="BO197" i="14"/>
  <c r="BP197" i="14"/>
  <c r="BQ197" i="14"/>
  <c r="BR197" i="14"/>
  <c r="BS197" i="14"/>
  <c r="BT197" i="14"/>
  <c r="BU197" i="14"/>
  <c r="BV197" i="14"/>
  <c r="BW197" i="14"/>
  <c r="BX197" i="14"/>
  <c r="BY197" i="14"/>
  <c r="BZ197" i="14"/>
  <c r="CA197" i="14"/>
  <c r="BC198" i="14"/>
  <c r="BD198" i="14"/>
  <c r="BE198" i="14"/>
  <c r="BF198" i="14"/>
  <c r="BG198" i="14"/>
  <c r="BH198" i="14"/>
  <c r="BI198" i="14"/>
  <c r="BJ198" i="14"/>
  <c r="BK198" i="14"/>
  <c r="BL198" i="14"/>
  <c r="BM198" i="14"/>
  <c r="BN198" i="14"/>
  <c r="BO198" i="14"/>
  <c r="BP198" i="14"/>
  <c r="BQ198" i="14"/>
  <c r="BR198" i="14"/>
  <c r="BS198" i="14"/>
  <c r="BT198" i="14"/>
  <c r="BU198" i="14"/>
  <c r="BV198" i="14"/>
  <c r="BW198" i="14"/>
  <c r="BX198" i="14"/>
  <c r="BY198" i="14"/>
  <c r="BZ198" i="14"/>
  <c r="CA198" i="14"/>
  <c r="BE199" i="14"/>
  <c r="BF199" i="14"/>
  <c r="BG199" i="14"/>
  <c r="BH199" i="14"/>
  <c r="BI199" i="14"/>
  <c r="BJ199" i="14"/>
  <c r="BL199" i="14"/>
  <c r="BM199" i="14"/>
  <c r="BN199" i="14"/>
  <c r="BO199" i="14"/>
  <c r="BP199" i="14"/>
  <c r="BQ199" i="14"/>
  <c r="BR199" i="14"/>
  <c r="BS199" i="14"/>
  <c r="BT199" i="14"/>
  <c r="BU199" i="14"/>
  <c r="BV199" i="14"/>
  <c r="BW199" i="14"/>
  <c r="BX199" i="14"/>
  <c r="BY199" i="14"/>
  <c r="BZ199" i="14"/>
  <c r="CA199" i="14"/>
  <c r="CB199" i="14"/>
  <c r="CC199" i="14"/>
  <c r="BE200" i="14"/>
  <c r="BF200" i="14"/>
  <c r="BG200" i="14"/>
  <c r="BH200" i="14"/>
  <c r="BI200" i="14"/>
  <c r="BJ200" i="14"/>
  <c r="BK200" i="14"/>
  <c r="BL200" i="14"/>
  <c r="BM200" i="14"/>
  <c r="BN200" i="14"/>
  <c r="BO200" i="14"/>
  <c r="BP200" i="14"/>
  <c r="BQ200" i="14"/>
  <c r="BR200" i="14"/>
  <c r="BS200" i="14"/>
  <c r="BT200" i="14"/>
  <c r="BU200" i="14"/>
  <c r="BV200" i="14"/>
  <c r="BW200" i="14"/>
  <c r="BX200" i="14"/>
  <c r="BY200" i="14"/>
  <c r="BZ200" i="14"/>
  <c r="CA200" i="14"/>
  <c r="CB200" i="14"/>
  <c r="CC200" i="14"/>
  <c r="BE201" i="14"/>
  <c r="BF201" i="14"/>
  <c r="BG201" i="14"/>
  <c r="BH201" i="14"/>
  <c r="BI201" i="14"/>
  <c r="BJ201" i="14"/>
  <c r="BK201" i="14"/>
  <c r="BM201" i="14"/>
  <c r="BN201" i="14"/>
  <c r="BO201" i="14"/>
  <c r="BP201" i="14"/>
  <c r="BQ201" i="14"/>
  <c r="BR201" i="14"/>
  <c r="BS201" i="14"/>
  <c r="BT201" i="14"/>
  <c r="BU201" i="14"/>
  <c r="BV201" i="14"/>
  <c r="BW201" i="14"/>
  <c r="BX201" i="14"/>
  <c r="BY201" i="14"/>
  <c r="BZ201" i="14"/>
  <c r="CA201" i="14"/>
  <c r="CB201" i="14"/>
  <c r="CC201" i="14"/>
  <c r="BF202" i="14"/>
  <c r="BG202" i="14"/>
  <c r="BH202" i="14"/>
  <c r="BI202" i="14"/>
  <c r="BJ202" i="14"/>
  <c r="BK202" i="14"/>
  <c r="BL202" i="14"/>
  <c r="BM202" i="14"/>
  <c r="BN202" i="14"/>
  <c r="BO202" i="14"/>
  <c r="BP202" i="14"/>
  <c r="BQ202" i="14"/>
  <c r="BR202" i="14"/>
  <c r="BS202" i="14"/>
  <c r="BT202" i="14"/>
  <c r="BU202" i="14"/>
  <c r="BV202" i="14"/>
  <c r="BW202" i="14"/>
  <c r="BX202" i="14"/>
  <c r="BY202" i="14"/>
  <c r="BZ202" i="14"/>
  <c r="CA202" i="14"/>
  <c r="CB202" i="14"/>
  <c r="CC202" i="14"/>
  <c r="CD202" i="14"/>
  <c r="BG203" i="14"/>
  <c r="BH203" i="14"/>
  <c r="BI203" i="14"/>
  <c r="BJ203" i="14"/>
  <c r="BK203" i="14"/>
  <c r="BL203" i="14"/>
  <c r="BM203" i="14"/>
  <c r="BO203" i="14"/>
  <c r="BP203" i="14"/>
  <c r="BQ203" i="14"/>
  <c r="BR203" i="14"/>
  <c r="BS203" i="14"/>
  <c r="BT203" i="14"/>
  <c r="BU203" i="14"/>
  <c r="BV203" i="14"/>
  <c r="BW203" i="14"/>
  <c r="BX203" i="14"/>
  <c r="BY203" i="14"/>
  <c r="BZ203" i="14"/>
  <c r="CA203" i="14"/>
  <c r="CB203" i="14"/>
  <c r="CC203" i="14"/>
  <c r="CD203" i="14"/>
  <c r="CE203" i="14"/>
  <c r="BH204" i="14"/>
  <c r="BI204" i="14"/>
  <c r="BJ204" i="14"/>
  <c r="BK204" i="14"/>
  <c r="BL204" i="14"/>
  <c r="BM204" i="14"/>
  <c r="BN204" i="14"/>
  <c r="BP204" i="14"/>
  <c r="BQ204" i="14"/>
  <c r="BR204" i="14"/>
  <c r="BS204" i="14"/>
  <c r="BT204" i="14"/>
  <c r="BU204" i="14"/>
  <c r="BV204" i="14"/>
  <c r="BW204" i="14"/>
  <c r="BX204" i="14"/>
  <c r="BY204" i="14"/>
  <c r="BZ204" i="14"/>
  <c r="CA204" i="14"/>
  <c r="CB204" i="14"/>
  <c r="CC204" i="14"/>
  <c r="CD204" i="14"/>
  <c r="CE204" i="14"/>
  <c r="CF204" i="14"/>
  <c r="BI205" i="14"/>
  <c r="BJ205" i="14"/>
  <c r="BK205" i="14"/>
  <c r="BL205" i="14"/>
  <c r="BM205" i="14"/>
  <c r="BN205" i="14"/>
  <c r="BO205" i="14"/>
  <c r="BP205" i="14"/>
  <c r="BQ205" i="14"/>
  <c r="BR205" i="14"/>
  <c r="BS205" i="14"/>
  <c r="BT205" i="14"/>
  <c r="BU205" i="14"/>
  <c r="BV205" i="14"/>
  <c r="BW205" i="14"/>
  <c r="BX205" i="14"/>
  <c r="BY205" i="14"/>
  <c r="BZ205" i="14"/>
  <c r="CA205" i="14"/>
  <c r="CB205" i="14"/>
  <c r="CC205" i="14"/>
  <c r="CD205" i="14"/>
  <c r="CE205" i="14"/>
  <c r="CF205" i="14"/>
  <c r="BJ206" i="14"/>
  <c r="BK206" i="14"/>
  <c r="BL206" i="14"/>
  <c r="BM206" i="14"/>
  <c r="BN206" i="14"/>
  <c r="BO206" i="14"/>
  <c r="BQ206" i="14"/>
  <c r="BR206" i="14"/>
  <c r="BS206" i="14"/>
  <c r="BT206" i="14"/>
  <c r="BU206" i="14"/>
  <c r="BV206" i="14"/>
  <c r="BW206" i="14"/>
  <c r="BX206" i="14"/>
  <c r="BY206" i="14"/>
  <c r="BZ206" i="14"/>
  <c r="CA206" i="14"/>
  <c r="CB206" i="14"/>
  <c r="CC206" i="14"/>
  <c r="CD206" i="14"/>
  <c r="CE206" i="14"/>
  <c r="CF206" i="14"/>
  <c r="CG206" i="14"/>
  <c r="BJ207" i="14"/>
  <c r="BK207" i="14"/>
  <c r="BL207" i="14"/>
  <c r="BM207" i="14"/>
  <c r="BN207" i="14"/>
  <c r="BO207" i="14"/>
  <c r="BP207" i="14"/>
  <c r="BR207" i="14"/>
  <c r="BS207" i="14"/>
  <c r="BT207" i="14"/>
  <c r="BU207" i="14"/>
  <c r="BV207" i="14"/>
  <c r="BW207" i="14"/>
  <c r="BX207" i="14"/>
  <c r="BY207" i="14"/>
  <c r="BZ207" i="14"/>
  <c r="CA207" i="14"/>
  <c r="CB207" i="14"/>
  <c r="CC207" i="14"/>
  <c r="CD207" i="14"/>
  <c r="CE207" i="14"/>
  <c r="CF207" i="14"/>
  <c r="CG207" i="14"/>
  <c r="BJ208" i="14"/>
  <c r="BK208" i="14"/>
  <c r="BL208" i="14"/>
  <c r="BM208" i="14"/>
  <c r="BN208" i="14"/>
  <c r="BO208" i="14"/>
  <c r="BP208" i="14"/>
  <c r="BQ208" i="14"/>
  <c r="BR208" i="14"/>
  <c r="BS208" i="14"/>
  <c r="BT208" i="14"/>
  <c r="BU208" i="14"/>
  <c r="BV208" i="14"/>
  <c r="BW208" i="14"/>
  <c r="BX208" i="14"/>
  <c r="BY208" i="14"/>
  <c r="BZ208" i="14"/>
  <c r="CA208" i="14"/>
  <c r="CB208" i="14"/>
  <c r="CC208" i="14"/>
  <c r="CD208" i="14"/>
  <c r="CE208" i="14"/>
  <c r="CF208" i="14"/>
  <c r="CG208" i="14"/>
  <c r="BJ209" i="14"/>
  <c r="BK209" i="14"/>
  <c r="BL209" i="14"/>
  <c r="BM209" i="14"/>
  <c r="BN209" i="14"/>
  <c r="BO209" i="14"/>
  <c r="BP209" i="14"/>
  <c r="BQ209" i="14"/>
  <c r="BR209" i="14"/>
  <c r="BS209" i="14"/>
  <c r="BT209" i="14"/>
  <c r="BU209" i="14"/>
  <c r="BV209" i="14"/>
  <c r="BW209" i="14"/>
  <c r="BX209" i="14"/>
  <c r="BY209" i="14"/>
  <c r="BZ209" i="14"/>
  <c r="CA209" i="14"/>
  <c r="CB209" i="14"/>
  <c r="CC209" i="14"/>
  <c r="CD209" i="14"/>
  <c r="CE209" i="14"/>
  <c r="CF209" i="14"/>
  <c r="CG209" i="14"/>
  <c r="CH209" i="14"/>
  <c r="BJ210" i="14"/>
  <c r="BK210" i="14"/>
  <c r="BL210" i="14"/>
  <c r="BM210" i="14"/>
  <c r="BN210" i="14"/>
  <c r="BO210" i="14"/>
  <c r="BP210" i="14"/>
  <c r="BQ210" i="14"/>
  <c r="BR210" i="14"/>
  <c r="BT210" i="14"/>
  <c r="BU210" i="14"/>
  <c r="BV210" i="14"/>
  <c r="BW210" i="14"/>
  <c r="BX210" i="14"/>
  <c r="BY210" i="14"/>
  <c r="BZ210" i="14"/>
  <c r="CA210" i="14"/>
  <c r="CB210" i="14"/>
  <c r="CC210" i="14"/>
  <c r="CD210" i="14"/>
  <c r="CE210" i="14"/>
  <c r="CF210" i="14"/>
  <c r="CG210" i="14"/>
  <c r="CH210" i="14"/>
  <c r="BJ211" i="14"/>
  <c r="BK211" i="14"/>
  <c r="BL211" i="14"/>
  <c r="BM211" i="14"/>
  <c r="BN211" i="14"/>
  <c r="BO211" i="14"/>
  <c r="BP211" i="14"/>
  <c r="BQ211" i="14"/>
  <c r="BR211" i="14"/>
  <c r="BS211" i="14"/>
  <c r="BU211" i="14"/>
  <c r="BV211" i="14"/>
  <c r="BW211" i="14"/>
  <c r="BX211" i="14"/>
  <c r="BY211" i="14"/>
  <c r="BZ211" i="14"/>
  <c r="CA211" i="14"/>
  <c r="CB211" i="14"/>
  <c r="CC211" i="14"/>
  <c r="CD211" i="14"/>
  <c r="CE211" i="14"/>
  <c r="CF211" i="14"/>
  <c r="CG211" i="14"/>
  <c r="CH211" i="14"/>
  <c r="BK212" i="14"/>
  <c r="BL212" i="14"/>
  <c r="BM212" i="14"/>
  <c r="BN212" i="14"/>
  <c r="BO212" i="14"/>
  <c r="BP212" i="14"/>
  <c r="BQ212" i="14"/>
  <c r="BR212" i="14"/>
  <c r="BS212" i="14"/>
  <c r="BT212" i="14"/>
  <c r="BU212" i="14"/>
  <c r="BV212" i="14"/>
  <c r="BW212" i="14"/>
  <c r="BX212" i="14"/>
  <c r="BY212" i="14"/>
  <c r="BZ212" i="14"/>
  <c r="CA212" i="14"/>
  <c r="CB212" i="14"/>
  <c r="CC212" i="14"/>
  <c r="CD212" i="14"/>
  <c r="CE212" i="14"/>
  <c r="CF212" i="14"/>
  <c r="CG212" i="14"/>
  <c r="CH212" i="14"/>
  <c r="CI212" i="14"/>
  <c r="BL213" i="14"/>
  <c r="BM213" i="14"/>
  <c r="BN213" i="14"/>
  <c r="BO213" i="14"/>
  <c r="BP213" i="14"/>
  <c r="BQ213" i="14"/>
  <c r="BR213" i="14"/>
  <c r="BS213" i="14"/>
  <c r="BT213" i="14"/>
  <c r="BU213" i="14"/>
  <c r="BV213" i="14"/>
  <c r="BW213" i="14"/>
  <c r="BX213" i="14"/>
  <c r="BY213" i="14"/>
  <c r="BZ213" i="14"/>
  <c r="CA213" i="14"/>
  <c r="CB213" i="14"/>
  <c r="CC213" i="14"/>
  <c r="CD213" i="14"/>
  <c r="CE213" i="14"/>
  <c r="CF213" i="14"/>
  <c r="CG213" i="14"/>
  <c r="CH213" i="14"/>
  <c r="CI213" i="14"/>
  <c r="BL214" i="14"/>
  <c r="BM214" i="14"/>
  <c r="BN214" i="14"/>
  <c r="BO214" i="14"/>
  <c r="BP214" i="14"/>
  <c r="BQ214" i="14"/>
  <c r="BR214" i="14"/>
  <c r="BS214" i="14"/>
  <c r="BT214" i="14"/>
  <c r="BU214" i="14"/>
  <c r="BV214" i="14"/>
  <c r="BW214" i="14"/>
  <c r="BX214" i="14"/>
  <c r="BY214" i="14"/>
  <c r="BZ214" i="14"/>
  <c r="CA214" i="14"/>
  <c r="CB214" i="14"/>
  <c r="CC214" i="14"/>
  <c r="CD214" i="14"/>
  <c r="CE214" i="14"/>
  <c r="CF214" i="14"/>
  <c r="CG214" i="14"/>
  <c r="CH214" i="14"/>
  <c r="CI214" i="14"/>
  <c r="BL215" i="14"/>
  <c r="BM215" i="14"/>
  <c r="BN215" i="14"/>
  <c r="BO215" i="14"/>
  <c r="BP215" i="14"/>
  <c r="BQ215" i="14"/>
  <c r="BR215" i="14"/>
  <c r="BS215" i="14"/>
  <c r="BT215" i="14"/>
  <c r="BU215" i="14"/>
  <c r="BV215" i="14"/>
  <c r="BW215" i="14"/>
  <c r="BX215" i="14"/>
  <c r="BY215" i="14"/>
  <c r="BZ215" i="14"/>
  <c r="CA215" i="14"/>
  <c r="CB215" i="14"/>
  <c r="CC215" i="14"/>
  <c r="CD215" i="14"/>
  <c r="CE215" i="14"/>
  <c r="CF215" i="14"/>
  <c r="CG215" i="14"/>
  <c r="CH215" i="14"/>
  <c r="CI215" i="14"/>
  <c r="CJ215" i="14"/>
  <c r="BM216" i="14"/>
  <c r="BN216" i="14"/>
  <c r="BO216" i="14"/>
  <c r="BP216" i="14"/>
  <c r="BQ216" i="14"/>
  <c r="BR216" i="14"/>
  <c r="BS216" i="14"/>
  <c r="BT216" i="14"/>
  <c r="BU216" i="14"/>
  <c r="BV216" i="14"/>
  <c r="BW216" i="14"/>
  <c r="BX216" i="14"/>
  <c r="BY216" i="14"/>
  <c r="BZ216" i="14"/>
  <c r="CA216" i="14"/>
  <c r="CB216" i="14"/>
  <c r="CC216" i="14"/>
  <c r="CD216" i="14"/>
  <c r="CE216" i="14"/>
  <c r="CF216" i="14"/>
  <c r="CG216" i="14"/>
  <c r="CH216" i="14"/>
  <c r="CI216" i="14"/>
  <c r="CJ216" i="14"/>
  <c r="BM217" i="14"/>
  <c r="BN217" i="14"/>
  <c r="BO217" i="14"/>
  <c r="BP217" i="14"/>
  <c r="BQ217" i="14"/>
  <c r="BR217" i="14"/>
  <c r="BS217" i="14"/>
  <c r="BT217" i="14"/>
  <c r="BV217" i="14"/>
  <c r="BW217" i="14"/>
  <c r="BX217" i="14"/>
  <c r="BY217" i="14"/>
  <c r="BZ217" i="14"/>
  <c r="CA217" i="14"/>
  <c r="CB217" i="14"/>
  <c r="CC217" i="14"/>
  <c r="CD217" i="14"/>
  <c r="CE217" i="14"/>
  <c r="CF217" i="14"/>
  <c r="CG217" i="14"/>
  <c r="CH217" i="14"/>
  <c r="CI217" i="14"/>
  <c r="CJ217" i="14"/>
  <c r="CK217" i="14"/>
  <c r="BN218" i="14"/>
  <c r="BO218" i="14"/>
  <c r="BP218" i="14"/>
  <c r="BQ218" i="14"/>
  <c r="BR218" i="14"/>
  <c r="BS218" i="14"/>
  <c r="BT218" i="14"/>
  <c r="BU218" i="14"/>
  <c r="BV218" i="14"/>
  <c r="BW218" i="14"/>
  <c r="BX218" i="14"/>
  <c r="BY218" i="14"/>
  <c r="BZ218" i="14"/>
  <c r="CA218" i="14"/>
  <c r="CB218" i="14"/>
  <c r="CC218" i="14"/>
  <c r="CD218" i="14"/>
  <c r="CE218" i="14"/>
  <c r="CF218" i="14"/>
  <c r="CG218" i="14"/>
  <c r="CH218" i="14"/>
  <c r="CI218" i="14"/>
  <c r="CJ218" i="14"/>
  <c r="CK218" i="14"/>
  <c r="BO219" i="14"/>
  <c r="BP219" i="14"/>
  <c r="BQ219" i="14"/>
  <c r="BR219" i="14"/>
  <c r="BS219" i="14"/>
  <c r="BT219" i="14"/>
  <c r="BU219" i="14"/>
  <c r="BV219" i="14"/>
  <c r="BW219" i="14"/>
  <c r="BX219" i="14"/>
  <c r="BY219" i="14"/>
  <c r="BZ219" i="14"/>
  <c r="CA219" i="14"/>
  <c r="CB219" i="14"/>
  <c r="CC219" i="14"/>
  <c r="CD219" i="14"/>
  <c r="CE219" i="14"/>
  <c r="CF219" i="14"/>
  <c r="CG219" i="14"/>
  <c r="CH219" i="14"/>
  <c r="CI219" i="14"/>
  <c r="CJ219" i="14"/>
  <c r="CK219" i="14"/>
  <c r="BP220" i="14"/>
  <c r="BQ220" i="14"/>
  <c r="BR220" i="14"/>
  <c r="BS220" i="14"/>
  <c r="BT220" i="14"/>
  <c r="BU220" i="14"/>
  <c r="BV220" i="14"/>
  <c r="BW220" i="14"/>
  <c r="BX220" i="14"/>
  <c r="BY220" i="14"/>
  <c r="BZ220" i="14"/>
  <c r="CA220" i="14"/>
  <c r="CB220" i="14"/>
  <c r="CC220" i="14"/>
  <c r="CD220" i="14"/>
  <c r="CE220" i="14"/>
  <c r="CF220" i="14"/>
  <c r="CG220" i="14"/>
  <c r="CH220" i="14"/>
  <c r="CI220" i="14"/>
  <c r="CJ220" i="14"/>
  <c r="CK220" i="14"/>
  <c r="BP221" i="14"/>
  <c r="BQ221" i="14"/>
  <c r="BR221" i="14"/>
  <c r="BS221" i="14"/>
  <c r="BT221" i="14"/>
  <c r="BU221" i="14"/>
  <c r="BV221" i="14"/>
  <c r="BX221" i="14"/>
  <c r="BY221" i="14"/>
  <c r="BZ221" i="14"/>
  <c r="CA221" i="14"/>
  <c r="CB221" i="14"/>
  <c r="CC221" i="14"/>
  <c r="CD221" i="14"/>
  <c r="CE221" i="14"/>
  <c r="CF221" i="14"/>
  <c r="CG221" i="14"/>
  <c r="CH221" i="14"/>
  <c r="CI221" i="14"/>
  <c r="CJ221" i="14"/>
  <c r="CK221" i="14"/>
  <c r="BP222" i="14"/>
  <c r="BQ222" i="14"/>
  <c r="BR222" i="14"/>
  <c r="BS222" i="14"/>
  <c r="BT222" i="14"/>
  <c r="BU222" i="14"/>
  <c r="BV222" i="14"/>
  <c r="BW222" i="14"/>
  <c r="BX222" i="14"/>
  <c r="BY222" i="14"/>
  <c r="BZ222" i="14"/>
  <c r="CA222" i="14"/>
  <c r="CB222" i="14"/>
  <c r="CC222" i="14"/>
  <c r="CD222" i="14"/>
  <c r="CE222" i="14"/>
  <c r="CF222" i="14"/>
  <c r="CG222" i="14"/>
  <c r="CH222" i="14"/>
  <c r="CI222" i="14"/>
  <c r="CJ222" i="14"/>
  <c r="CK222" i="14"/>
  <c r="BQ223" i="14"/>
  <c r="BR223" i="14"/>
  <c r="BS223" i="14"/>
  <c r="BT223" i="14"/>
  <c r="BU223" i="14"/>
  <c r="BV223" i="14"/>
  <c r="BW223" i="14"/>
  <c r="BY223" i="14"/>
  <c r="BZ223" i="14"/>
  <c r="CA223" i="14"/>
  <c r="CB223" i="14"/>
  <c r="CC223" i="14"/>
  <c r="CD223" i="14"/>
  <c r="CE223" i="14"/>
  <c r="CF223" i="14"/>
  <c r="CG223" i="14"/>
  <c r="CH223" i="14"/>
  <c r="CI223" i="14"/>
  <c r="CJ223" i="14"/>
  <c r="CK223" i="14"/>
  <c r="CL223" i="14"/>
  <c r="BQ224" i="14"/>
  <c r="BR224" i="14"/>
  <c r="BS224" i="14"/>
  <c r="BT224" i="14"/>
  <c r="BU224" i="14"/>
  <c r="BV224" i="14"/>
  <c r="BW224" i="14"/>
  <c r="BX224" i="14"/>
  <c r="BY224" i="14"/>
  <c r="BZ224" i="14"/>
  <c r="CA224" i="14"/>
  <c r="CB224" i="14"/>
  <c r="CC224" i="14"/>
  <c r="CD224" i="14"/>
  <c r="CE224" i="14"/>
  <c r="CF224" i="14"/>
  <c r="CG224" i="14"/>
  <c r="CH224" i="14"/>
  <c r="CI224" i="14"/>
  <c r="CJ224" i="14"/>
  <c r="CK224" i="14"/>
  <c r="CL224" i="14"/>
  <c r="BR225" i="14"/>
  <c r="BS225" i="14"/>
  <c r="BT225" i="14"/>
  <c r="BU225" i="14"/>
  <c r="BV225" i="14"/>
  <c r="BW225" i="14"/>
  <c r="BX225" i="14"/>
  <c r="BY225" i="14"/>
  <c r="BZ225" i="14"/>
  <c r="CA225" i="14"/>
  <c r="CB225" i="14"/>
  <c r="CC225" i="14"/>
  <c r="CD225" i="14"/>
  <c r="CE225" i="14"/>
  <c r="CF225" i="14"/>
  <c r="CG225" i="14"/>
  <c r="CH225" i="14"/>
  <c r="CI225" i="14"/>
  <c r="CJ225" i="14"/>
  <c r="CK225" i="14"/>
  <c r="CL225" i="14"/>
  <c r="BR226" i="14"/>
  <c r="BS226" i="14"/>
  <c r="BT226" i="14"/>
  <c r="BU226" i="14"/>
  <c r="BV226" i="14"/>
  <c r="BW226" i="14"/>
  <c r="BX226" i="14"/>
  <c r="BZ226" i="14"/>
  <c r="CA226" i="14"/>
  <c r="CB226" i="14"/>
  <c r="CC226" i="14"/>
  <c r="CD226" i="14"/>
  <c r="CE226" i="14"/>
  <c r="CF226" i="14"/>
  <c r="CG226" i="14"/>
  <c r="CH226" i="14"/>
  <c r="CI226" i="14"/>
  <c r="CJ226" i="14"/>
  <c r="CK226" i="14"/>
  <c r="CL226" i="14"/>
  <c r="BR227" i="14"/>
  <c r="BS227" i="14"/>
  <c r="BT227" i="14"/>
  <c r="BU227" i="14"/>
  <c r="BV227" i="14"/>
  <c r="BW227" i="14"/>
  <c r="BX227" i="14"/>
  <c r="BY227" i="14"/>
  <c r="BZ227" i="14"/>
  <c r="CA227" i="14"/>
  <c r="CB227" i="14"/>
  <c r="CC227" i="14"/>
  <c r="CD227" i="14"/>
  <c r="CE227" i="14"/>
  <c r="CF227" i="14"/>
  <c r="CG227" i="14"/>
  <c r="CH227" i="14"/>
  <c r="CI227" i="14"/>
  <c r="CJ227" i="14"/>
  <c r="CK227" i="14"/>
  <c r="CL227" i="14"/>
  <c r="BS228" i="14"/>
  <c r="BT228" i="14"/>
  <c r="BU228" i="14"/>
  <c r="BV228" i="14"/>
  <c r="BW228" i="14"/>
  <c r="BX228" i="14"/>
  <c r="BY228" i="14"/>
  <c r="CA228" i="14"/>
  <c r="CB228" i="14"/>
  <c r="CC228" i="14"/>
  <c r="CD228" i="14"/>
  <c r="CE228" i="14"/>
  <c r="CF228" i="14"/>
  <c r="CG228" i="14"/>
  <c r="CH228" i="14"/>
  <c r="CI228" i="14"/>
  <c r="CJ228" i="14"/>
  <c r="CK228" i="14"/>
  <c r="CL228" i="14"/>
  <c r="BS229" i="14"/>
  <c r="BT229" i="14"/>
  <c r="BU229" i="14"/>
  <c r="BV229" i="14"/>
  <c r="BW229" i="14"/>
  <c r="BX229" i="14"/>
  <c r="BY229" i="14"/>
  <c r="BZ229" i="14"/>
  <c r="CA229" i="14"/>
  <c r="CB229" i="14"/>
  <c r="CC229" i="14"/>
  <c r="CD229" i="14"/>
  <c r="CE229" i="14"/>
  <c r="CF229" i="14"/>
  <c r="CG229" i="14"/>
  <c r="CH229" i="14"/>
  <c r="CI229" i="14"/>
  <c r="CJ229" i="14"/>
  <c r="CK229" i="14"/>
  <c r="CL229" i="14"/>
  <c r="BT230" i="14"/>
  <c r="BU230" i="14"/>
  <c r="BV230" i="14"/>
  <c r="BW230" i="14"/>
  <c r="BX230" i="14"/>
  <c r="BY230" i="14"/>
  <c r="BZ230" i="14"/>
  <c r="CB230" i="14"/>
  <c r="CC230" i="14"/>
  <c r="CD230" i="14"/>
  <c r="CE230" i="14"/>
  <c r="CF230" i="14"/>
  <c r="CG230" i="14"/>
  <c r="CH230" i="14"/>
  <c r="CI230" i="14"/>
  <c r="CJ230" i="14"/>
  <c r="CK230" i="14"/>
  <c r="CL230" i="14"/>
  <c r="CM230" i="14"/>
  <c r="BU231" i="14"/>
  <c r="BV231" i="14"/>
  <c r="BW231" i="14"/>
  <c r="BX231" i="14"/>
  <c r="BY231" i="14"/>
  <c r="BZ231" i="14"/>
  <c r="CA231" i="14"/>
  <c r="CB231" i="14"/>
  <c r="CC231" i="14"/>
  <c r="CD231" i="14"/>
  <c r="CE231" i="14"/>
  <c r="CF231" i="14"/>
  <c r="CG231" i="14"/>
  <c r="CH231" i="14"/>
  <c r="CI231" i="14"/>
  <c r="CJ231" i="14"/>
  <c r="CK231" i="14"/>
  <c r="CL231" i="14"/>
  <c r="CM231" i="14"/>
  <c r="BU232" i="14"/>
  <c r="BV232" i="14"/>
  <c r="BW232" i="14"/>
  <c r="BX232" i="14"/>
  <c r="BY232" i="14"/>
  <c r="BZ232" i="14"/>
  <c r="CA232" i="14"/>
  <c r="CB232" i="14"/>
  <c r="CC232" i="14"/>
  <c r="CD232" i="14"/>
  <c r="CE232" i="14"/>
  <c r="CF232" i="14"/>
  <c r="CG232" i="14"/>
  <c r="CH232" i="14"/>
  <c r="CI232" i="14"/>
  <c r="CJ232" i="14"/>
  <c r="CK232" i="14"/>
  <c r="CL232" i="14"/>
  <c r="CM232" i="14"/>
  <c r="BU233" i="14"/>
  <c r="BV233" i="14"/>
  <c r="BW233" i="14"/>
  <c r="BX233" i="14"/>
  <c r="BY233" i="14"/>
  <c r="BZ233" i="14"/>
  <c r="CA233" i="14"/>
  <c r="CC233" i="14"/>
  <c r="CD233" i="14"/>
  <c r="CE233" i="14"/>
  <c r="CF233" i="14"/>
  <c r="CG233" i="14"/>
  <c r="CH233" i="14"/>
  <c r="CI233" i="14"/>
  <c r="CJ233" i="14"/>
  <c r="CK233" i="14"/>
  <c r="CL233" i="14"/>
  <c r="CM233" i="14"/>
  <c r="BU234" i="14"/>
  <c r="BV234" i="14"/>
  <c r="BW234" i="14"/>
  <c r="BX234" i="14"/>
  <c r="BY234" i="14"/>
  <c r="BZ234" i="14"/>
  <c r="CA234" i="14"/>
  <c r="CB234" i="14"/>
  <c r="CC234" i="14"/>
  <c r="CD234" i="14"/>
  <c r="CE234" i="14"/>
  <c r="CF234" i="14"/>
  <c r="CG234" i="14"/>
  <c r="CH234" i="14"/>
  <c r="CI234" i="14"/>
  <c r="CJ234" i="14"/>
  <c r="CK234" i="14"/>
  <c r="CL234" i="14"/>
  <c r="CM234" i="14"/>
  <c r="BU235" i="14"/>
  <c r="BV235" i="14"/>
  <c r="BW235" i="14"/>
  <c r="BX235" i="14"/>
  <c r="BY235" i="14"/>
  <c r="BZ235" i="14"/>
  <c r="CA235" i="14"/>
  <c r="CB235" i="14"/>
  <c r="CD235" i="14"/>
  <c r="CE235" i="14"/>
  <c r="CF235" i="14"/>
  <c r="CG235" i="14"/>
  <c r="CH235" i="14"/>
  <c r="CI235" i="14"/>
  <c r="CJ235" i="14"/>
  <c r="CK235" i="14"/>
  <c r="CL235" i="14"/>
  <c r="CM235" i="14"/>
  <c r="BU236" i="14"/>
  <c r="BV236" i="14"/>
  <c r="BW236" i="14"/>
  <c r="BX236" i="14"/>
  <c r="BY236" i="14"/>
  <c r="BZ236" i="14"/>
  <c r="CA236" i="14"/>
  <c r="CB236" i="14"/>
  <c r="CC236" i="14"/>
  <c r="CD236" i="14"/>
  <c r="CE236" i="14"/>
  <c r="CF236" i="14"/>
  <c r="CG236" i="14"/>
  <c r="CH236" i="14"/>
  <c r="CI236" i="14"/>
  <c r="CJ236" i="14"/>
  <c r="CK236" i="14"/>
  <c r="CL236" i="14"/>
  <c r="CM236" i="14"/>
  <c r="BU237" i="14"/>
  <c r="BV237" i="14"/>
  <c r="BW237" i="14"/>
  <c r="BX237" i="14"/>
  <c r="BY237" i="14"/>
  <c r="BZ237" i="14"/>
  <c r="CA237" i="14"/>
  <c r="CB237" i="14"/>
  <c r="CC237" i="14"/>
  <c r="CD237" i="14"/>
  <c r="CE237" i="14"/>
  <c r="CF237" i="14"/>
  <c r="CG237" i="14"/>
  <c r="CH237" i="14"/>
  <c r="CI237" i="14"/>
  <c r="CJ237" i="14"/>
  <c r="CK237" i="14"/>
  <c r="CL237" i="14"/>
  <c r="CM237" i="14"/>
  <c r="BU238" i="14"/>
  <c r="BV238" i="14"/>
  <c r="BW238" i="14"/>
  <c r="BX238" i="14"/>
  <c r="BY238" i="14"/>
  <c r="BZ238" i="14"/>
  <c r="CA238" i="14"/>
  <c r="CB238" i="14"/>
  <c r="CC238" i="14"/>
  <c r="CD238" i="14"/>
  <c r="CE238" i="14"/>
  <c r="CF238" i="14"/>
  <c r="CG238" i="14"/>
  <c r="CH238" i="14"/>
  <c r="CI238" i="14"/>
  <c r="CJ238" i="14"/>
  <c r="CK238" i="14"/>
  <c r="CL238" i="14"/>
  <c r="CM238" i="14"/>
  <c r="BU239" i="14"/>
  <c r="BV239" i="14"/>
  <c r="BW239" i="14"/>
  <c r="BX239" i="14"/>
  <c r="BY239" i="14"/>
  <c r="BZ239" i="14"/>
  <c r="CA239" i="14"/>
  <c r="CB239" i="14"/>
  <c r="CC239" i="14"/>
  <c r="CD239" i="14"/>
  <c r="CE239" i="14"/>
  <c r="CF239" i="14"/>
  <c r="CG239" i="14"/>
  <c r="CH239" i="14"/>
  <c r="CI239" i="14"/>
  <c r="CJ239" i="14"/>
  <c r="CK239" i="14"/>
  <c r="CL239" i="14"/>
  <c r="CM239" i="14"/>
  <c r="BV240" i="14"/>
  <c r="BW240" i="14"/>
  <c r="BX240" i="14"/>
  <c r="BY240" i="14"/>
  <c r="BZ240" i="14"/>
  <c r="CA240" i="14"/>
  <c r="CB240" i="14"/>
  <c r="CC240" i="14"/>
  <c r="CD240" i="14"/>
  <c r="CE240" i="14"/>
  <c r="CF240" i="14"/>
  <c r="CG240" i="14"/>
  <c r="CH240" i="14"/>
  <c r="CI240" i="14"/>
  <c r="CJ240" i="14"/>
  <c r="CK240" i="14"/>
  <c r="CL240" i="14"/>
  <c r="CM240" i="14"/>
  <c r="BV241" i="14"/>
  <c r="BW241" i="14"/>
  <c r="BX241" i="14"/>
  <c r="BY241" i="14"/>
  <c r="BZ241" i="14"/>
  <c r="CA241" i="14"/>
  <c r="CB241" i="14"/>
  <c r="CC241" i="14"/>
  <c r="CE241" i="14"/>
  <c r="CF241" i="14"/>
  <c r="CG241" i="14"/>
  <c r="CH241" i="14"/>
  <c r="CI241" i="14"/>
  <c r="CJ241" i="14"/>
  <c r="CK241" i="14"/>
  <c r="CL241" i="14"/>
  <c r="CM241" i="14"/>
  <c r="BV242" i="14"/>
  <c r="BW242" i="14"/>
  <c r="BX242" i="14"/>
  <c r="BY242" i="14"/>
  <c r="BZ242" i="14"/>
  <c r="CA242" i="14"/>
  <c r="CB242" i="14"/>
  <c r="CC242" i="14"/>
  <c r="CD242" i="14"/>
  <c r="CE242" i="14"/>
  <c r="CF242" i="14"/>
  <c r="CG242" i="14"/>
  <c r="CH242" i="14"/>
  <c r="CI242" i="14"/>
  <c r="CJ242" i="14"/>
  <c r="CK242" i="14"/>
  <c r="CL242" i="14"/>
  <c r="CM242" i="14"/>
  <c r="BV243" i="14"/>
  <c r="BW243" i="14"/>
  <c r="BX243" i="14"/>
  <c r="BY243" i="14"/>
  <c r="BZ243" i="14"/>
  <c r="CA243" i="14"/>
  <c r="CB243" i="14"/>
  <c r="CC243" i="14"/>
  <c r="CD243" i="14"/>
  <c r="CE243" i="14"/>
  <c r="CF243" i="14"/>
  <c r="CG243" i="14"/>
  <c r="CH243" i="14"/>
  <c r="CI243" i="14"/>
  <c r="CJ243" i="14"/>
  <c r="CK243" i="14"/>
  <c r="CL243" i="14"/>
  <c r="CM243" i="14"/>
  <c r="BW244" i="14"/>
  <c r="BX244" i="14"/>
  <c r="BY244" i="14"/>
  <c r="BZ244" i="14"/>
  <c r="CA244" i="14"/>
  <c r="CB244" i="14"/>
  <c r="CC244" i="14"/>
  <c r="CD244" i="14"/>
  <c r="CE244" i="14"/>
  <c r="CF244" i="14"/>
  <c r="CG244" i="14"/>
  <c r="CH244" i="14"/>
  <c r="CI244" i="14"/>
  <c r="CJ244" i="14"/>
  <c r="CK244" i="14"/>
  <c r="CL244" i="14"/>
  <c r="CM244" i="14"/>
  <c r="BW245" i="14"/>
  <c r="BX245" i="14"/>
  <c r="BY245" i="14"/>
  <c r="BZ245" i="14"/>
  <c r="CA245" i="14"/>
  <c r="CB245" i="14"/>
  <c r="CC245" i="14"/>
  <c r="CD245" i="14"/>
  <c r="CF245" i="14"/>
  <c r="CG245" i="14"/>
  <c r="CH245" i="14"/>
  <c r="CI245" i="14"/>
  <c r="CJ245" i="14"/>
  <c r="CK245" i="14"/>
  <c r="CL245" i="14"/>
  <c r="CM245" i="14"/>
  <c r="BX246" i="14"/>
  <c r="BY246" i="14"/>
  <c r="BZ246" i="14"/>
  <c r="CA246" i="14"/>
  <c r="CB246" i="14"/>
  <c r="CC246" i="14"/>
  <c r="CD246" i="14"/>
  <c r="CE246" i="14"/>
  <c r="CF246" i="14"/>
  <c r="CG246" i="14"/>
  <c r="CH246" i="14"/>
  <c r="CI246" i="14"/>
  <c r="CJ246" i="14"/>
  <c r="CK246" i="14"/>
  <c r="CL246" i="14"/>
  <c r="CM246" i="14"/>
  <c r="BX247" i="14"/>
  <c r="BY247" i="14"/>
  <c r="BZ247" i="14"/>
  <c r="CA247" i="14"/>
  <c r="CB247" i="14"/>
  <c r="CC247" i="14"/>
  <c r="CD247" i="14"/>
  <c r="CE247" i="14"/>
  <c r="CF247" i="14"/>
  <c r="CG247" i="14"/>
  <c r="CH247" i="14"/>
  <c r="CI247" i="14"/>
  <c r="CJ247" i="14"/>
  <c r="CK247" i="14"/>
  <c r="CL247" i="14"/>
  <c r="CM247" i="14"/>
  <c r="BX248" i="14"/>
  <c r="BY248" i="14"/>
  <c r="BZ248" i="14"/>
  <c r="CA248" i="14"/>
  <c r="CB248" i="14"/>
  <c r="CC248" i="14"/>
  <c r="CD248" i="14"/>
  <c r="CE248" i="14"/>
  <c r="CG248" i="14"/>
  <c r="CH248" i="14"/>
  <c r="CI248" i="14"/>
  <c r="CJ248" i="14"/>
  <c r="CK248" i="14"/>
  <c r="CL248" i="14"/>
  <c r="CM248" i="14"/>
  <c r="BY249" i="14"/>
  <c r="BZ249" i="14"/>
  <c r="CA249" i="14"/>
  <c r="CB249" i="14"/>
  <c r="CC249" i="14"/>
  <c r="CD249" i="14"/>
  <c r="CE249" i="14"/>
  <c r="CF249" i="14"/>
  <c r="CG249" i="14"/>
  <c r="CH249" i="14"/>
  <c r="CI249" i="14"/>
  <c r="CJ249" i="14"/>
  <c r="CK249" i="14"/>
  <c r="CL249" i="14"/>
  <c r="CM249" i="14"/>
  <c r="BY250" i="14"/>
  <c r="BZ250" i="14"/>
  <c r="CA250" i="14"/>
  <c r="CB250" i="14"/>
  <c r="CC250" i="14"/>
  <c r="CD250" i="14"/>
  <c r="CE250" i="14"/>
  <c r="CF250" i="14"/>
  <c r="CG250" i="14"/>
  <c r="CH250" i="14"/>
  <c r="CI250" i="14"/>
  <c r="CJ250" i="14"/>
  <c r="CK250" i="14"/>
  <c r="CL250" i="14"/>
  <c r="CM250" i="14"/>
  <c r="BY251" i="14"/>
  <c r="BZ251" i="14"/>
  <c r="CA251" i="14"/>
  <c r="CB251" i="14"/>
  <c r="CC251" i="14"/>
  <c r="CD251" i="14"/>
  <c r="CE251" i="14"/>
  <c r="CF251" i="14"/>
  <c r="CG251" i="14"/>
  <c r="CH251" i="14"/>
  <c r="CI251" i="14"/>
  <c r="CJ251" i="14"/>
  <c r="CK251" i="14"/>
  <c r="CL251" i="14"/>
  <c r="CM251" i="14"/>
  <c r="BY252" i="14"/>
  <c r="BZ252" i="14"/>
  <c r="CA252" i="14"/>
  <c r="CB252" i="14"/>
  <c r="CC252" i="14"/>
  <c r="CD252" i="14"/>
  <c r="CE252" i="14"/>
  <c r="CF252" i="14"/>
  <c r="CH252" i="14"/>
  <c r="CI252" i="14"/>
  <c r="CJ252" i="14"/>
  <c r="CK252" i="14"/>
  <c r="CL252" i="14"/>
  <c r="CM252" i="14"/>
  <c r="BY253" i="14"/>
  <c r="BZ253" i="14"/>
  <c r="CA253" i="14"/>
  <c r="CB253" i="14"/>
  <c r="CC253" i="14"/>
  <c r="CD253" i="14"/>
  <c r="CE253" i="14"/>
  <c r="CF253" i="14"/>
  <c r="CG253" i="14"/>
  <c r="CH253" i="14"/>
  <c r="CI253" i="14"/>
  <c r="CJ253" i="14"/>
  <c r="CK253" i="14"/>
  <c r="CL253" i="14"/>
  <c r="CM253" i="14"/>
  <c r="BZ254" i="14"/>
  <c r="CA254" i="14"/>
  <c r="CB254" i="14"/>
  <c r="CC254" i="14"/>
  <c r="CD254" i="14"/>
  <c r="CE254" i="14"/>
  <c r="CF254" i="14"/>
  <c r="CG254" i="14"/>
  <c r="CH254" i="14"/>
  <c r="CI254" i="14"/>
  <c r="CJ254" i="14"/>
  <c r="CK254" i="14"/>
  <c r="CL254" i="14"/>
  <c r="CM254" i="14"/>
  <c r="BZ255" i="14"/>
  <c r="CA255" i="14"/>
  <c r="CB255" i="14"/>
  <c r="CC255" i="14"/>
  <c r="CD255" i="14"/>
  <c r="CE255" i="14"/>
  <c r="CF255" i="14"/>
  <c r="CG255" i="14"/>
  <c r="CH255" i="14"/>
  <c r="CI255" i="14"/>
  <c r="CJ255" i="14"/>
  <c r="CK255" i="14"/>
  <c r="CL255" i="14"/>
  <c r="CM255" i="14"/>
  <c r="BZ256" i="14"/>
  <c r="CA256" i="14"/>
  <c r="CB256" i="14"/>
  <c r="CC256" i="14"/>
  <c r="CD256" i="14"/>
  <c r="CE256" i="14"/>
  <c r="CF256" i="14"/>
  <c r="CG256" i="14"/>
  <c r="CH256" i="14"/>
  <c r="CI256" i="14"/>
  <c r="CJ256" i="14"/>
  <c r="CK256" i="14"/>
  <c r="CL256" i="14"/>
  <c r="CM256" i="14"/>
  <c r="CA257" i="14"/>
  <c r="CB257" i="14"/>
  <c r="CC257" i="14"/>
  <c r="CD257" i="14"/>
  <c r="CE257" i="14"/>
  <c r="CF257" i="14"/>
  <c r="CG257" i="14"/>
  <c r="CH257" i="14"/>
  <c r="CI257" i="14"/>
  <c r="CJ257" i="14"/>
  <c r="CK257" i="14"/>
  <c r="CL257" i="14"/>
  <c r="CM257" i="14"/>
  <c r="CA258" i="14"/>
  <c r="CB258" i="14"/>
  <c r="CC258" i="14"/>
  <c r="CD258" i="14"/>
  <c r="CE258" i="14"/>
  <c r="CF258" i="14"/>
  <c r="CG258" i="14"/>
  <c r="CH258" i="14"/>
  <c r="CI258" i="14"/>
  <c r="CJ258" i="14"/>
  <c r="CK258" i="14"/>
  <c r="CL258" i="14"/>
  <c r="CM258" i="14"/>
  <c r="CA259" i="14"/>
  <c r="CB259" i="14"/>
  <c r="CC259" i="14"/>
  <c r="CD259" i="14"/>
  <c r="CE259" i="14"/>
  <c r="CF259" i="14"/>
  <c r="CG259" i="14"/>
  <c r="CH259" i="14"/>
  <c r="CI259" i="14"/>
  <c r="CJ259" i="14"/>
  <c r="CK259" i="14"/>
  <c r="CL259" i="14"/>
  <c r="CM259" i="14"/>
  <c r="CB260" i="14"/>
  <c r="CC260" i="14"/>
  <c r="CD260" i="14"/>
  <c r="CE260" i="14"/>
  <c r="CF260" i="14"/>
  <c r="CG260" i="14"/>
  <c r="CH260" i="14"/>
  <c r="CI260" i="14"/>
  <c r="CJ260" i="14"/>
  <c r="CK260" i="14"/>
  <c r="CL260" i="14"/>
  <c r="CM260" i="14"/>
  <c r="CB261" i="14"/>
  <c r="CC261" i="14"/>
  <c r="CD261" i="14"/>
  <c r="CE261" i="14"/>
  <c r="CF261" i="14"/>
  <c r="CG261" i="14"/>
  <c r="CI261" i="14"/>
  <c r="CJ261" i="14"/>
  <c r="CK261" i="14"/>
  <c r="CL261" i="14"/>
  <c r="CM261" i="14"/>
  <c r="CB262" i="14"/>
  <c r="CC262" i="14"/>
  <c r="CD262" i="14"/>
  <c r="CE262" i="14"/>
  <c r="CF262" i="14"/>
  <c r="CG262" i="14"/>
  <c r="CH262" i="14"/>
  <c r="CI262" i="14"/>
  <c r="CJ262" i="14"/>
  <c r="CK262" i="14"/>
  <c r="CL262" i="14"/>
  <c r="CM262" i="14"/>
  <c r="CB263" i="14"/>
  <c r="CC263" i="14"/>
  <c r="CD263" i="14"/>
  <c r="CE263" i="14"/>
  <c r="CF263" i="14"/>
  <c r="CG263" i="14"/>
  <c r="CH263" i="14"/>
  <c r="CI263" i="14"/>
  <c r="CJ263" i="14"/>
  <c r="CK263" i="14"/>
  <c r="CL263" i="14"/>
  <c r="CM263" i="14"/>
  <c r="CC264" i="14"/>
  <c r="CD264" i="14"/>
  <c r="CE264" i="14"/>
  <c r="CF264" i="14"/>
  <c r="CG264" i="14"/>
  <c r="CH264" i="14"/>
  <c r="CI264" i="14"/>
  <c r="CJ264" i="14"/>
  <c r="CK264" i="14"/>
  <c r="CL264" i="14"/>
  <c r="CM264" i="14"/>
  <c r="CC265" i="14"/>
  <c r="CD265" i="14"/>
  <c r="CE265" i="14"/>
  <c r="CF265" i="14"/>
  <c r="CG265" i="14"/>
  <c r="CH265" i="14"/>
  <c r="CI265" i="14"/>
  <c r="CJ265" i="14"/>
  <c r="CK265" i="14"/>
  <c r="CL265" i="14"/>
  <c r="CM265" i="14"/>
  <c r="CC266" i="14"/>
  <c r="CD266" i="14"/>
  <c r="CE266" i="14"/>
  <c r="CF266" i="14"/>
  <c r="CG266" i="14"/>
  <c r="CH266" i="14"/>
  <c r="CI266" i="14"/>
  <c r="CJ266" i="14"/>
  <c r="CK266" i="14"/>
  <c r="CL266" i="14"/>
  <c r="CM266" i="14"/>
  <c r="CD267" i="14"/>
  <c r="CE267" i="14"/>
  <c r="CF267" i="14"/>
  <c r="CG267" i="14"/>
  <c r="CH267" i="14"/>
  <c r="CI267" i="14"/>
  <c r="CJ267" i="14"/>
  <c r="CK267" i="14"/>
  <c r="CL267" i="14"/>
  <c r="CM267" i="14"/>
  <c r="CD268" i="14"/>
  <c r="CE268" i="14"/>
  <c r="CF268" i="14"/>
  <c r="CG268" i="14"/>
  <c r="CH268" i="14"/>
  <c r="CJ268" i="14"/>
  <c r="CK268" i="14"/>
  <c r="CL268" i="14"/>
  <c r="CM268" i="14"/>
  <c r="CD269" i="14"/>
  <c r="CE269" i="14"/>
  <c r="CF269" i="14"/>
  <c r="CG269" i="14"/>
  <c r="CH269" i="14"/>
  <c r="CI269" i="14"/>
  <c r="CJ269" i="14"/>
  <c r="CK269" i="14"/>
  <c r="CL269" i="14"/>
  <c r="CM269" i="14"/>
  <c r="CD270" i="14"/>
  <c r="CE270" i="14"/>
  <c r="CF270" i="14"/>
  <c r="CG270" i="14"/>
  <c r="CH270" i="14"/>
  <c r="CI270" i="14"/>
  <c r="CJ270" i="14"/>
  <c r="CK270" i="14"/>
  <c r="CL270" i="14"/>
  <c r="CM270" i="14"/>
  <c r="CD271" i="14"/>
  <c r="CE271" i="14"/>
  <c r="CF271" i="14"/>
  <c r="CG271" i="14"/>
  <c r="CH271" i="14"/>
  <c r="CI271" i="14"/>
  <c r="CJ271" i="14"/>
  <c r="CK271" i="14"/>
  <c r="CL271" i="14"/>
  <c r="CM271" i="14"/>
  <c r="CD272" i="14"/>
  <c r="CE272" i="14"/>
  <c r="CF272" i="14"/>
  <c r="CG272" i="14"/>
  <c r="CH272" i="14"/>
  <c r="CI272" i="14"/>
  <c r="CJ272" i="14"/>
  <c r="CK272" i="14"/>
  <c r="CL272" i="14"/>
  <c r="CM272" i="14"/>
  <c r="CD273" i="14"/>
  <c r="CE273" i="14"/>
  <c r="CF273" i="14"/>
  <c r="CG273" i="14"/>
  <c r="CH273" i="14"/>
  <c r="CI273" i="14"/>
  <c r="CJ273" i="14"/>
  <c r="CK273" i="14"/>
  <c r="CL273" i="14"/>
  <c r="CM273" i="14"/>
  <c r="CD274" i="14"/>
  <c r="CE274" i="14"/>
  <c r="CF274" i="14"/>
  <c r="CG274" i="14"/>
  <c r="CH274" i="14"/>
  <c r="CI274" i="14"/>
  <c r="CJ274" i="14"/>
  <c r="CK274" i="14"/>
  <c r="CL274" i="14"/>
  <c r="CM274" i="14"/>
  <c r="CD275" i="14"/>
  <c r="CE275" i="14"/>
  <c r="CF275" i="14"/>
  <c r="CG275" i="14"/>
  <c r="CH275" i="14"/>
  <c r="CI275" i="14"/>
  <c r="CK275" i="14"/>
  <c r="CL275" i="14"/>
  <c r="CM275" i="14"/>
  <c r="CE276" i="14"/>
  <c r="CF276" i="14"/>
  <c r="CG276" i="14"/>
  <c r="CH276" i="14"/>
  <c r="CI276" i="14"/>
  <c r="CJ276" i="14"/>
  <c r="CK276" i="14"/>
  <c r="CL276" i="14"/>
  <c r="CM276" i="14"/>
  <c r="CE277" i="14"/>
  <c r="CF277" i="14"/>
  <c r="CG277" i="14"/>
  <c r="CH277" i="14"/>
  <c r="CI277" i="14"/>
  <c r="CJ277" i="14"/>
  <c r="CK277" i="14"/>
  <c r="CL277" i="14"/>
  <c r="CM277" i="14"/>
  <c r="CE278" i="14"/>
  <c r="CF278" i="14"/>
  <c r="CG278" i="14"/>
  <c r="CH278" i="14"/>
  <c r="CI278" i="14"/>
  <c r="CJ278" i="14"/>
  <c r="CL278" i="14"/>
  <c r="CM278" i="14"/>
  <c r="CE279" i="14"/>
  <c r="CF279" i="14"/>
  <c r="CG279" i="14"/>
  <c r="CH279" i="14"/>
  <c r="CI279" i="14"/>
  <c r="CJ279" i="14"/>
  <c r="CK279" i="14"/>
  <c r="CL279" i="14"/>
  <c r="CM279" i="14"/>
  <c r="CF280" i="14"/>
  <c r="CG280" i="14"/>
  <c r="CH280" i="14"/>
  <c r="CI280" i="14"/>
  <c r="CJ280" i="14"/>
  <c r="CK280" i="14"/>
  <c r="CL280" i="14"/>
  <c r="CM280" i="14"/>
  <c r="CF281" i="14"/>
  <c r="CG281" i="14"/>
  <c r="CH281" i="14"/>
  <c r="CI281" i="14"/>
  <c r="CJ281" i="14"/>
  <c r="CK281" i="14"/>
  <c r="CL281" i="14"/>
  <c r="CM281" i="14"/>
  <c r="CG282" i="14"/>
  <c r="CH282" i="14"/>
  <c r="CI282" i="14"/>
  <c r="CJ282" i="14"/>
  <c r="CK282" i="14"/>
  <c r="CL282" i="14"/>
  <c r="CM282" i="14"/>
  <c r="CG283" i="14"/>
  <c r="CH283" i="14"/>
  <c r="CI283" i="14"/>
  <c r="CJ283" i="14"/>
  <c r="CK283" i="14"/>
  <c r="CL283" i="14"/>
  <c r="CM283" i="14"/>
  <c r="CG284" i="14"/>
  <c r="CH284" i="14"/>
  <c r="CI284" i="14"/>
  <c r="CJ284" i="14"/>
  <c r="CK284" i="14"/>
  <c r="CL284" i="14"/>
  <c r="CM284" i="14"/>
  <c r="CH285" i="14"/>
  <c r="CI285" i="14"/>
  <c r="CJ285" i="14"/>
  <c r="CK285" i="14"/>
  <c r="CL285" i="14"/>
  <c r="CM285" i="14"/>
  <c r="CH286" i="14"/>
  <c r="CI286" i="14"/>
  <c r="CJ286" i="14"/>
  <c r="CK286" i="14"/>
  <c r="CM286" i="14"/>
  <c r="CH287" i="14"/>
  <c r="CI287" i="14"/>
  <c r="CJ287" i="14"/>
  <c r="CK287" i="14"/>
  <c r="CL287" i="14"/>
  <c r="CM287" i="14"/>
  <c r="CH288" i="14"/>
  <c r="CI288" i="14"/>
  <c r="CJ288" i="14"/>
  <c r="CK288" i="14"/>
  <c r="CL288" i="14"/>
  <c r="CM288" i="14"/>
  <c r="CH289" i="14"/>
  <c r="CI289" i="14"/>
  <c r="CJ289" i="14"/>
  <c r="CK289" i="14"/>
  <c r="CL289" i="14"/>
  <c r="CM289" i="14"/>
  <c r="CH290" i="14"/>
  <c r="CI290" i="14"/>
  <c r="CJ290" i="14"/>
  <c r="CK290" i="14"/>
  <c r="CL290" i="14"/>
  <c r="CM290" i="14"/>
  <c r="CH291" i="14"/>
  <c r="CI291" i="14"/>
  <c r="CJ291" i="14"/>
  <c r="CK291" i="14"/>
  <c r="CL291" i="14"/>
  <c r="CM291" i="14"/>
  <c r="CI292" i="14"/>
  <c r="CJ292" i="14"/>
  <c r="CK292" i="14"/>
  <c r="CL292" i="14"/>
  <c r="CM292" i="14"/>
  <c r="CI293" i="14"/>
  <c r="CJ293" i="14"/>
  <c r="CK293" i="14"/>
  <c r="CL293" i="14"/>
  <c r="CM293" i="14"/>
  <c r="CI294" i="14"/>
  <c r="CJ294" i="14"/>
  <c r="CK294" i="14"/>
  <c r="CL294" i="14"/>
  <c r="CM294" i="14"/>
  <c r="CI295" i="14"/>
  <c r="CJ295" i="14"/>
  <c r="CK295" i="14"/>
  <c r="CL295" i="14"/>
  <c r="CI296" i="14"/>
  <c r="CJ296" i="14"/>
  <c r="CK296" i="14"/>
  <c r="CL296" i="14"/>
  <c r="CM296" i="14"/>
  <c r="CI297" i="14"/>
  <c r="CJ297" i="14"/>
  <c r="CK297" i="14"/>
  <c r="CL297" i="14"/>
  <c r="CM297" i="14"/>
  <c r="CJ298" i="14"/>
  <c r="CK298" i="14"/>
  <c r="CL298" i="14"/>
  <c r="CM298" i="14"/>
  <c r="CJ299" i="14"/>
  <c r="CK299" i="14"/>
  <c r="CL299" i="14"/>
  <c r="CM299" i="14"/>
  <c r="CJ300" i="14"/>
  <c r="CK300" i="14"/>
  <c r="CL300" i="14"/>
  <c r="CM300" i="14"/>
  <c r="CJ301" i="14"/>
  <c r="CK301" i="14"/>
  <c r="CL301" i="14"/>
  <c r="CM301" i="14"/>
  <c r="CJ302" i="14"/>
  <c r="CK302" i="14"/>
  <c r="CL302" i="14"/>
  <c r="CM302" i="14"/>
  <c r="CK303" i="14"/>
  <c r="CL303" i="14"/>
  <c r="CM303" i="14"/>
  <c r="CK304" i="14"/>
  <c r="CL304" i="14"/>
  <c r="CM304" i="14"/>
  <c r="CK305" i="14"/>
  <c r="CL305" i="14"/>
  <c r="CM305" i="14"/>
  <c r="CK306" i="14"/>
  <c r="CL306" i="14"/>
  <c r="CM306" i="14"/>
  <c r="J11" i="10"/>
  <c r="J15" i="10"/>
  <c r="J17" i="10"/>
  <c r="J19" i="10"/>
  <c r="J21" i="10"/>
  <c r="J22" i="10"/>
  <c r="J26" i="10"/>
  <c r="J28" i="10"/>
  <c r="J30" i="10"/>
  <c r="J32" i="10"/>
  <c r="J33" i="10"/>
  <c r="J39" i="10"/>
  <c r="J41" i="10"/>
  <c r="J43" i="10"/>
  <c r="J75" i="10"/>
  <c r="J73" i="10"/>
  <c r="J24" i="12"/>
  <c r="J26" i="12"/>
  <c r="J28" i="12"/>
  <c r="J30" i="12"/>
  <c r="J32" i="12"/>
  <c r="J33" i="12"/>
  <c r="J35" i="12"/>
  <c r="J37" i="12"/>
  <c r="J39" i="12"/>
  <c r="J41" i="12"/>
  <c r="J42" i="12"/>
  <c r="J44" i="12"/>
  <c r="J46" i="12"/>
  <c r="J48" i="12"/>
  <c r="J50" i="12"/>
  <c r="J51" i="12"/>
  <c r="J53" i="12"/>
  <c r="J55" i="12"/>
  <c r="J57" i="12"/>
  <c r="J59" i="12"/>
  <c r="J19" i="12"/>
  <c r="J8" i="12"/>
  <c r="J9" i="12"/>
  <c r="J11" i="12"/>
  <c r="J13" i="12"/>
  <c r="J15" i="12"/>
  <c r="J17" i="12"/>
  <c r="B87" i="12"/>
  <c r="G87" i="12" s="1"/>
  <c r="H87" i="12" s="1"/>
  <c r="I88" i="12" s="1"/>
  <c r="B86" i="12"/>
  <c r="G86" i="12" s="1"/>
  <c r="H86" i="12" s="1"/>
  <c r="I87" i="12" s="1"/>
  <c r="B85" i="12"/>
  <c r="C85" i="12" s="1"/>
  <c r="B84" i="12"/>
  <c r="G84" i="12" s="1"/>
  <c r="H84" i="12" s="1"/>
  <c r="I85" i="12" s="1"/>
  <c r="B83" i="12"/>
  <c r="G83" i="12" s="1"/>
  <c r="H83" i="12" s="1"/>
  <c r="I84" i="12" s="1"/>
  <c r="B82" i="12"/>
  <c r="C82" i="12" s="1"/>
  <c r="B81" i="12"/>
  <c r="G81" i="12" s="1"/>
  <c r="H81" i="12" s="1"/>
  <c r="I82" i="12" s="1"/>
  <c r="B80" i="12"/>
  <c r="G80" i="12" s="1"/>
  <c r="H80" i="12" s="1"/>
  <c r="B79" i="12"/>
  <c r="C79" i="12" s="1"/>
  <c r="B78" i="12"/>
  <c r="G78" i="12" s="1"/>
  <c r="H78" i="12" s="1"/>
  <c r="B77" i="12"/>
  <c r="G77" i="12" s="1"/>
  <c r="H77" i="12" s="1"/>
  <c r="B76" i="12"/>
  <c r="C76" i="12" s="1"/>
  <c r="B75" i="12"/>
  <c r="G75" i="12" s="1"/>
  <c r="H75" i="12" s="1"/>
  <c r="H18" i="12"/>
  <c r="I18" i="12" s="1"/>
  <c r="J18" i="12" s="1"/>
  <c r="C59" i="12"/>
  <c r="C58" i="12"/>
  <c r="C57" i="12"/>
  <c r="C56" i="12"/>
  <c r="C55" i="12"/>
  <c r="C50" i="12"/>
  <c r="A40" i="12"/>
  <c r="C40" i="12" s="1"/>
  <c r="I30" i="12"/>
  <c r="I28" i="12"/>
  <c r="I24" i="12"/>
  <c r="C83" i="12" l="1"/>
  <c r="D76" i="12"/>
  <c r="E76" i="12"/>
  <c r="F76" i="12" s="1"/>
  <c r="C75" i="12"/>
  <c r="D75" i="12" s="1"/>
  <c r="D85" i="12"/>
  <c r="E75" i="12"/>
  <c r="F75" i="12" s="1"/>
  <c r="D81" i="12"/>
  <c r="E85" i="12"/>
  <c r="F85" i="12" s="1"/>
  <c r="D79" i="12"/>
  <c r="C86" i="12"/>
  <c r="E84" i="12"/>
  <c r="F84" i="12" s="1"/>
  <c r="E81" i="12"/>
  <c r="F81" i="12" s="1"/>
  <c r="D84" i="12"/>
  <c r="E79" i="12"/>
  <c r="F79" i="12" s="1"/>
  <c r="D82" i="12"/>
  <c r="B40" i="12"/>
  <c r="D87" i="12"/>
  <c r="E87" i="12"/>
  <c r="F87" i="12" s="1"/>
  <c r="E82" i="12"/>
  <c r="F82" i="12" s="1"/>
  <c r="E78" i="12"/>
  <c r="F78" i="12" s="1"/>
  <c r="I76" i="12"/>
  <c r="G76" i="12"/>
  <c r="H76" i="12" s="1"/>
  <c r="C78" i="12"/>
  <c r="D78" i="12" s="1"/>
  <c r="G79" i="12"/>
  <c r="H79" i="12" s="1"/>
  <c r="C81" i="12"/>
  <c r="G82" i="12"/>
  <c r="H82" i="12" s="1"/>
  <c r="I83" i="12" s="1"/>
  <c r="C84" i="12"/>
  <c r="G85" i="12"/>
  <c r="H85" i="12" s="1"/>
  <c r="I86" i="12" s="1"/>
  <c r="C87" i="12"/>
  <c r="C77" i="12"/>
  <c r="C80" i="12"/>
  <c r="D77" i="12"/>
  <c r="D80" i="12"/>
  <c r="D83" i="12"/>
  <c r="D86" i="12"/>
  <c r="E77" i="12"/>
  <c r="F77" i="12" s="1"/>
  <c r="E80" i="12"/>
  <c r="F80" i="12" s="1"/>
  <c r="E83" i="12"/>
  <c r="F83" i="12" s="1"/>
  <c r="E86" i="12"/>
  <c r="F86" i="12" s="1"/>
  <c r="B88" i="12"/>
  <c r="A14" i="9"/>
  <c r="I77" i="12" l="1"/>
  <c r="I78" i="12" s="1"/>
  <c r="I79" i="12" s="1"/>
  <c r="I80" i="12" s="1"/>
  <c r="I81" i="12" s="1"/>
  <c r="G88" i="12"/>
  <c r="A16" i="12" s="1"/>
  <c r="F88" i="12"/>
  <c r="D88" i="12"/>
  <c r="C88" i="12"/>
  <c r="E91" i="12" l="1"/>
  <c r="A10" i="12"/>
  <c r="C91" i="12"/>
  <c r="E89" i="12"/>
  <c r="C89" i="12"/>
  <c r="B57" i="10"/>
  <c r="G57" i="10" s="1"/>
  <c r="H57" i="10" s="1"/>
  <c r="B58" i="10"/>
  <c r="G58" i="10" s="1"/>
  <c r="H58" i="10" s="1"/>
  <c r="B59" i="10"/>
  <c r="G59" i="10" s="1"/>
  <c r="H59" i="10" s="1"/>
  <c r="B60" i="10"/>
  <c r="G60" i="10" s="1"/>
  <c r="H60" i="10" s="1"/>
  <c r="B61" i="10"/>
  <c r="G61" i="10" s="1"/>
  <c r="H61" i="10" s="1"/>
  <c r="B56" i="10"/>
  <c r="G56" i="10" s="1"/>
  <c r="H56" i="10" s="1"/>
  <c r="I57" i="10" s="1"/>
  <c r="B62" i="10"/>
  <c r="G62" i="10" s="1"/>
  <c r="H62" i="10" s="1"/>
  <c r="I63" i="10" s="1"/>
  <c r="B63" i="10"/>
  <c r="G63" i="10" s="1"/>
  <c r="H63" i="10" s="1"/>
  <c r="I64" i="10" s="1"/>
  <c r="B64" i="10"/>
  <c r="G64" i="10" s="1"/>
  <c r="H64" i="10" s="1"/>
  <c r="I65" i="10" s="1"/>
  <c r="B65" i="10"/>
  <c r="G65" i="10" s="1"/>
  <c r="H65" i="10" s="1"/>
  <c r="I66" i="10" s="1"/>
  <c r="B66" i="10"/>
  <c r="G66" i="10" s="1"/>
  <c r="H66" i="10" s="1"/>
  <c r="I67" i="10" s="1"/>
  <c r="B67" i="10"/>
  <c r="G67" i="10" s="1"/>
  <c r="H67" i="10" s="1"/>
  <c r="I68" i="10" s="1"/>
  <c r="B68" i="10"/>
  <c r="G68" i="10" s="1"/>
  <c r="H68" i="10" s="1"/>
  <c r="I69" i="10" s="1"/>
  <c r="C41" i="10"/>
  <c r="A3" i="8"/>
  <c r="A3" i="9"/>
  <c r="A69" i="9" s="1"/>
  <c r="A83" i="2"/>
  <c r="A82" i="2"/>
  <c r="A81" i="2"/>
  <c r="A80" i="2"/>
  <c r="A79" i="2"/>
  <c r="A78" i="2"/>
  <c r="A77" i="2"/>
  <c r="A76" i="2"/>
  <c r="A75" i="2"/>
  <c r="A74" i="2"/>
  <c r="A73" i="2"/>
  <c r="A72" i="2"/>
  <c r="A71" i="2"/>
  <c r="A70" i="2"/>
  <c r="A69" i="2"/>
  <c r="A68" i="2"/>
  <c r="A67" i="2"/>
  <c r="A66" i="2"/>
  <c r="A65" i="2"/>
  <c r="A64" i="2"/>
  <c r="A59" i="2"/>
  <c r="A58" i="2"/>
  <c r="A57" i="2"/>
  <c r="A56" i="2"/>
  <c r="A55" i="2"/>
  <c r="A54" i="2"/>
  <c r="A53" i="2"/>
  <c r="A52" i="2"/>
  <c r="A51" i="2"/>
  <c r="A50" i="2"/>
  <c r="A49" i="2"/>
  <c r="A48" i="2"/>
  <c r="A47" i="2"/>
  <c r="A46" i="2"/>
  <c r="A45" i="2"/>
  <c r="A44" i="2"/>
  <c r="A43" i="2"/>
  <c r="A42" i="2"/>
  <c r="A41" i="2"/>
  <c r="A40" i="2"/>
  <c r="I82" i="2"/>
  <c r="I81" i="2"/>
  <c r="I80" i="2"/>
  <c r="I79" i="2"/>
  <c r="I78" i="2"/>
  <c r="I77" i="2"/>
  <c r="I76" i="2"/>
  <c r="I75" i="2"/>
  <c r="I74" i="2"/>
  <c r="I73" i="2"/>
  <c r="I72" i="2"/>
  <c r="I71" i="2"/>
  <c r="I70" i="2"/>
  <c r="I69" i="2"/>
  <c r="I68" i="2"/>
  <c r="I67" i="2"/>
  <c r="I66" i="2"/>
  <c r="I65" i="2"/>
  <c r="I64" i="2"/>
  <c r="I83" i="2"/>
  <c r="I59" i="2"/>
  <c r="I58" i="2"/>
  <c r="I57" i="2"/>
  <c r="I56" i="2"/>
  <c r="I55" i="2"/>
  <c r="I54" i="2"/>
  <c r="I53" i="2"/>
  <c r="I52" i="2"/>
  <c r="I51" i="2"/>
  <c r="I50" i="2"/>
  <c r="I49" i="2"/>
  <c r="I48" i="2"/>
  <c r="I47" i="2"/>
  <c r="I46" i="2"/>
  <c r="I45" i="2"/>
  <c r="I44" i="2"/>
  <c r="I43" i="2"/>
  <c r="I42" i="2"/>
  <c r="I41" i="2"/>
  <c r="I40" i="2"/>
  <c r="B36" i="6"/>
  <c r="B37" i="6"/>
  <c r="B38" i="6"/>
  <c r="B39" i="6"/>
  <c r="B40" i="6"/>
  <c r="B41" i="6"/>
  <c r="B42" i="6"/>
  <c r="B43" i="6"/>
  <c r="B44" i="6"/>
  <c r="B45" i="6"/>
  <c r="B46" i="6"/>
  <c r="B47" i="6"/>
  <c r="B35" i="6"/>
  <c r="B20" i="6"/>
  <c r="B21" i="6"/>
  <c r="B22" i="6"/>
  <c r="B23" i="6"/>
  <c r="B24" i="6"/>
  <c r="B25" i="6"/>
  <c r="B26" i="6"/>
  <c r="B27" i="6"/>
  <c r="B28" i="6"/>
  <c r="B29" i="6"/>
  <c r="B30" i="6"/>
  <c r="B31" i="6"/>
  <c r="B19" i="6"/>
  <c r="B58" i="9"/>
  <c r="E60" i="9" s="1"/>
  <c r="C57" i="9"/>
  <c r="D57" i="9" s="1"/>
  <c r="C56" i="9"/>
  <c r="E56" i="9" s="1"/>
  <c r="C55" i="9"/>
  <c r="E55" i="9" s="1"/>
  <c r="C54" i="9"/>
  <c r="E54" i="9" s="1"/>
  <c r="C53" i="9"/>
  <c r="D53" i="9" s="1"/>
  <c r="C52" i="9"/>
  <c r="E52" i="9" s="1"/>
  <c r="C51" i="9"/>
  <c r="E51" i="9" s="1"/>
  <c r="C50" i="9"/>
  <c r="E50" i="9" s="1"/>
  <c r="C49" i="9"/>
  <c r="E49" i="9" s="1"/>
  <c r="C48" i="9"/>
  <c r="E48" i="9" s="1"/>
  <c r="C47" i="9"/>
  <c r="D47" i="9" s="1"/>
  <c r="C46" i="9"/>
  <c r="E46" i="9" s="1"/>
  <c r="C45" i="9"/>
  <c r="D45" i="9" s="1"/>
  <c r="B30" i="9"/>
  <c r="B23" i="9"/>
  <c r="D8" i="9"/>
  <c r="C8" i="9"/>
  <c r="B8" i="9"/>
  <c r="B58" i="8"/>
  <c r="A60" i="8" s="1"/>
  <c r="C57" i="8"/>
  <c r="E57" i="8" s="1"/>
  <c r="C56" i="8"/>
  <c r="D56" i="8" s="1"/>
  <c r="G55" i="8"/>
  <c r="D55" i="8"/>
  <c r="F55" i="8" s="1"/>
  <c r="C55" i="8"/>
  <c r="E55" i="8" s="1"/>
  <c r="C54" i="8"/>
  <c r="E54" i="8" s="1"/>
  <c r="G53" i="8"/>
  <c r="F53" i="8"/>
  <c r="E53" i="8"/>
  <c r="D53" i="8"/>
  <c r="C53" i="8"/>
  <c r="C52" i="8"/>
  <c r="D52" i="8" s="1"/>
  <c r="C51" i="8"/>
  <c r="D51" i="8" s="1"/>
  <c r="C50" i="8"/>
  <c r="E50" i="8" s="1"/>
  <c r="C49" i="8"/>
  <c r="D49" i="8" s="1"/>
  <c r="C48" i="8"/>
  <c r="E48" i="8" s="1"/>
  <c r="C47" i="8"/>
  <c r="E47" i="8" s="1"/>
  <c r="C46" i="8"/>
  <c r="E46" i="8" s="1"/>
  <c r="C45" i="8"/>
  <c r="E45" i="8" s="1"/>
  <c r="B30" i="8"/>
  <c r="B23" i="8"/>
  <c r="D8" i="8"/>
  <c r="C8" i="8"/>
  <c r="B8" i="8"/>
  <c r="D7" i="8" s="1"/>
  <c r="D36" i="8" s="1"/>
  <c r="D7" i="9" l="1"/>
  <c r="A12" i="12"/>
  <c r="I89" i="12"/>
  <c r="J89" i="12" s="1"/>
  <c r="A43" i="8"/>
  <c r="A69" i="8"/>
  <c r="E54" i="6"/>
  <c r="D47" i="8"/>
  <c r="G47" i="8" s="1"/>
  <c r="C54" i="6"/>
  <c r="F26" i="8"/>
  <c r="F19" i="8"/>
  <c r="A43" i="9"/>
  <c r="D52" i="9"/>
  <c r="F52" i="9" s="1"/>
  <c r="F19" i="9"/>
  <c r="D49" i="9"/>
  <c r="D54" i="9"/>
  <c r="D50" i="9"/>
  <c r="F50" i="9" s="1"/>
  <c r="F26" i="9"/>
  <c r="F47" i="9"/>
  <c r="G47" i="9"/>
  <c r="E47" i="9"/>
  <c r="E57" i="9"/>
  <c r="D55" i="9"/>
  <c r="G55" i="9" s="1"/>
  <c r="C36" i="9"/>
  <c r="D50" i="8"/>
  <c r="G50" i="8" s="1"/>
  <c r="I58" i="10"/>
  <c r="I59" i="10" s="1"/>
  <c r="I60" i="10" s="1"/>
  <c r="I61" i="10" s="1"/>
  <c r="I62" i="10" s="1"/>
  <c r="G69" i="10"/>
  <c r="D46" i="8"/>
  <c r="G46" i="8" s="1"/>
  <c r="E60" i="8"/>
  <c r="F36" i="8"/>
  <c r="D37" i="8" s="1"/>
  <c r="E45" i="9"/>
  <c r="C32" i="10"/>
  <c r="A2" i="8"/>
  <c r="C39" i="10"/>
  <c r="A25" i="9"/>
  <c r="C43" i="10"/>
  <c r="A32" i="9"/>
  <c r="G53" i="9"/>
  <c r="F53" i="9"/>
  <c r="G45" i="9"/>
  <c r="F45" i="9"/>
  <c r="F57" i="9"/>
  <c r="G57" i="9"/>
  <c r="E53" i="9"/>
  <c r="C58" i="9"/>
  <c r="D51" i="9"/>
  <c r="D48" i="9"/>
  <c r="A2" i="9"/>
  <c r="D46" i="9"/>
  <c r="A18" i="9"/>
  <c r="D56" i="9"/>
  <c r="A40" i="9"/>
  <c r="A9" i="9"/>
  <c r="A60" i="9"/>
  <c r="G49" i="8"/>
  <c r="F49" i="8"/>
  <c r="G56" i="8"/>
  <c r="F56" i="8"/>
  <c r="G51" i="8"/>
  <c r="F51" i="8"/>
  <c r="G52" i="8"/>
  <c r="F52" i="8"/>
  <c r="A18" i="8"/>
  <c r="E51" i="8"/>
  <c r="E56" i="8"/>
  <c r="A40" i="8"/>
  <c r="E49" i="8"/>
  <c r="E58" i="8" s="1"/>
  <c r="D54" i="8"/>
  <c r="A9" i="8"/>
  <c r="C58" i="8"/>
  <c r="D45" i="8"/>
  <c r="E52" i="8"/>
  <c r="D57" i="8"/>
  <c r="A14" i="8"/>
  <c r="C14" i="8"/>
  <c r="A32" i="8"/>
  <c r="D14" i="8"/>
  <c r="A36" i="8"/>
  <c r="F14" i="8"/>
  <c r="C36" i="8"/>
  <c r="D48" i="8"/>
  <c r="A25" i="8"/>
  <c r="A3" i="1"/>
  <c r="B30" i="1"/>
  <c r="C56" i="10"/>
  <c r="C57" i="10"/>
  <c r="C58" i="10"/>
  <c r="C59" i="10"/>
  <c r="C60" i="10"/>
  <c r="C61" i="10"/>
  <c r="E62" i="10"/>
  <c r="F62" i="10" s="1"/>
  <c r="C63" i="10"/>
  <c r="E64" i="10"/>
  <c r="F64" i="10" s="1"/>
  <c r="C65" i="10"/>
  <c r="E66" i="10"/>
  <c r="F66" i="10" s="1"/>
  <c r="C67" i="10"/>
  <c r="C68" i="10"/>
  <c r="C42" i="10"/>
  <c r="C40" i="10"/>
  <c r="A20" i="10"/>
  <c r="I10" i="10"/>
  <c r="J10" i="10" s="1"/>
  <c r="I6" i="10"/>
  <c r="J6" i="10" s="1"/>
  <c r="B20" i="10" l="1"/>
  <c r="C20" i="10" s="1"/>
  <c r="A69" i="1"/>
  <c r="C41" i="12"/>
  <c r="C21" i="10"/>
  <c r="F47" i="8"/>
  <c r="C14" i="9"/>
  <c r="A15" i="9" s="1"/>
  <c r="G52" i="9"/>
  <c r="G54" i="9"/>
  <c r="F54" i="9"/>
  <c r="G50" i="9"/>
  <c r="F55" i="9"/>
  <c r="F49" i="9"/>
  <c r="G49" i="9"/>
  <c r="E58" i="9"/>
  <c r="D58" i="9"/>
  <c r="F36" i="9"/>
  <c r="A36" i="9"/>
  <c r="F14" i="9"/>
  <c r="D14" i="9"/>
  <c r="D36" i="9"/>
  <c r="F50" i="8"/>
  <c r="A18" i="1"/>
  <c r="A43" i="1"/>
  <c r="F46" i="8"/>
  <c r="D15" i="8"/>
  <c r="G51" i="9"/>
  <c r="F51" i="9"/>
  <c r="G46" i="9"/>
  <c r="F46" i="9"/>
  <c r="G48" i="9"/>
  <c r="F48" i="9"/>
  <c r="G56" i="9"/>
  <c r="F56" i="9"/>
  <c r="G45" i="8"/>
  <c r="F45" i="8"/>
  <c r="D58" i="8"/>
  <c r="G48" i="8"/>
  <c r="F48" i="8"/>
  <c r="A15" i="8"/>
  <c r="G57" i="8"/>
  <c r="F57" i="8"/>
  <c r="F54" i="8"/>
  <c r="G54" i="8"/>
  <c r="A37" i="8"/>
  <c r="A38" i="8" s="1"/>
  <c r="A9" i="1"/>
  <c r="A2" i="1"/>
  <c r="A32" i="1"/>
  <c r="A40" i="1"/>
  <c r="A25" i="1"/>
  <c r="C64" i="10"/>
  <c r="E68" i="10"/>
  <c r="F68" i="10" s="1"/>
  <c r="D68" i="10"/>
  <c r="D64" i="10"/>
  <c r="E60" i="10"/>
  <c r="F60" i="10" s="1"/>
  <c r="D60" i="10"/>
  <c r="D66" i="10"/>
  <c r="C66" i="10"/>
  <c r="E56" i="10"/>
  <c r="F56" i="10" s="1"/>
  <c r="D62" i="10"/>
  <c r="D56" i="10"/>
  <c r="C62" i="10"/>
  <c r="B69" i="10"/>
  <c r="A7" i="12" s="1"/>
  <c r="E58" i="10"/>
  <c r="F58" i="10" s="1"/>
  <c r="D58" i="10"/>
  <c r="E67" i="10"/>
  <c r="F67" i="10" s="1"/>
  <c r="E65" i="10"/>
  <c r="F65" i="10" s="1"/>
  <c r="E63" i="10"/>
  <c r="F63" i="10" s="1"/>
  <c r="E61" i="10"/>
  <c r="F61" i="10" s="1"/>
  <c r="E59" i="10"/>
  <c r="F59" i="10" s="1"/>
  <c r="E57" i="10"/>
  <c r="F57" i="10" s="1"/>
  <c r="D67" i="10"/>
  <c r="D65" i="10"/>
  <c r="D63" i="10"/>
  <c r="D61" i="10"/>
  <c r="D59" i="10"/>
  <c r="D57" i="10"/>
  <c r="G58" i="8" l="1"/>
  <c r="A16" i="8"/>
  <c r="G74" i="8"/>
  <c r="H74" i="8" s="1"/>
  <c r="G70" i="8"/>
  <c r="G87" i="8"/>
  <c r="H87" i="8" s="1"/>
  <c r="G83" i="8"/>
  <c r="H83" i="8" s="1"/>
  <c r="G79" i="8"/>
  <c r="H79" i="8" s="1"/>
  <c r="G75" i="8"/>
  <c r="H75" i="8" s="1"/>
  <c r="G89" i="8"/>
  <c r="H84" i="8"/>
  <c r="G72" i="8"/>
  <c r="G80" i="8"/>
  <c r="H80" i="8" s="1"/>
  <c r="G90" i="8"/>
  <c r="H90" i="8" s="1"/>
  <c r="G86" i="8"/>
  <c r="H86" i="8" s="1"/>
  <c r="G82" i="8"/>
  <c r="H82" i="8" s="1"/>
  <c r="G78" i="8"/>
  <c r="H78" i="8" s="1"/>
  <c r="H89" i="8"/>
  <c r="G81" i="8"/>
  <c r="H81" i="8" s="1"/>
  <c r="G77" i="8"/>
  <c r="H77" i="8" s="1"/>
  <c r="H72" i="8"/>
  <c r="H76" i="8"/>
  <c r="G84" i="8"/>
  <c r="G71" i="8"/>
  <c r="A95" i="8" s="1"/>
  <c r="G73" i="8"/>
  <c r="H73" i="8" s="1"/>
  <c r="G85" i="8"/>
  <c r="H85" i="8" s="1"/>
  <c r="G88" i="8"/>
  <c r="H88" i="8" s="1"/>
  <c r="G76" i="8"/>
  <c r="D15" i="9"/>
  <c r="A16" i="9" s="1"/>
  <c r="G58" i="9"/>
  <c r="A37" i="9"/>
  <c r="D37" i="9"/>
  <c r="F58" i="9"/>
  <c r="F58" i="8"/>
  <c r="C69" i="10"/>
  <c r="F69" i="10"/>
  <c r="D69" i="10"/>
  <c r="E72" i="10" s="1"/>
  <c r="J17" i="6"/>
  <c r="J18" i="6"/>
  <c r="J33" i="6"/>
  <c r="J34" i="6"/>
  <c r="H42" i="10" l="1"/>
  <c r="H58" i="12"/>
  <c r="E80" i="8"/>
  <c r="F80" i="8" s="1"/>
  <c r="L16" i="8"/>
  <c r="K16" i="8"/>
  <c r="J16" i="8" s="1"/>
  <c r="H31" i="10"/>
  <c r="L13" i="8"/>
  <c r="K13" i="8"/>
  <c r="J13" i="8" s="1"/>
  <c r="L12" i="8"/>
  <c r="K12" i="8"/>
  <c r="J12" i="8" s="1"/>
  <c r="H49" i="12"/>
  <c r="L16" i="9"/>
  <c r="L13" i="9"/>
  <c r="K13" i="9"/>
  <c r="J13" i="9" s="1"/>
  <c r="K12" i="9"/>
  <c r="K16" i="9"/>
  <c r="L12" i="9"/>
  <c r="E77" i="8"/>
  <c r="F77" i="8" s="1"/>
  <c r="E85" i="8"/>
  <c r="F85" i="8" s="1"/>
  <c r="E81" i="8"/>
  <c r="F81" i="8" s="1"/>
  <c r="E82" i="8"/>
  <c r="F82" i="8" s="1"/>
  <c r="E76" i="8"/>
  <c r="F76" i="8" s="1"/>
  <c r="E88" i="8"/>
  <c r="F88" i="8" s="1"/>
  <c r="E86" i="8"/>
  <c r="F86" i="8" s="1"/>
  <c r="E74" i="8"/>
  <c r="F74" i="8" s="1"/>
  <c r="E73" i="8"/>
  <c r="F73" i="8" s="1"/>
  <c r="E83" i="8"/>
  <c r="F83" i="8" s="1"/>
  <c r="E84" i="8"/>
  <c r="F84" i="8" s="1"/>
  <c r="E75" i="8"/>
  <c r="F75" i="8" s="1"/>
  <c r="E79" i="8"/>
  <c r="F79" i="8" s="1"/>
  <c r="E89" i="8"/>
  <c r="F89" i="8" s="1"/>
  <c r="E87" i="8"/>
  <c r="F87" i="8" s="1"/>
  <c r="A10" i="8"/>
  <c r="E78" i="8"/>
  <c r="F78" i="8" s="1"/>
  <c r="E71" i="8"/>
  <c r="A94" i="8" s="1"/>
  <c r="E90" i="8"/>
  <c r="F90" i="8" s="1"/>
  <c r="E77" i="9"/>
  <c r="F77" i="9" s="1"/>
  <c r="E71" i="9"/>
  <c r="A94" i="9" s="1"/>
  <c r="A38" i="9"/>
  <c r="E80" i="9"/>
  <c r="F80" i="9" s="1"/>
  <c r="E89" i="9"/>
  <c r="F89" i="9" s="1"/>
  <c r="E81" i="9"/>
  <c r="F81" i="9" s="1"/>
  <c r="E74" i="9"/>
  <c r="F74" i="9" s="1"/>
  <c r="E87" i="9"/>
  <c r="F87" i="9" s="1"/>
  <c r="E73" i="9"/>
  <c r="F73" i="9" s="1"/>
  <c r="E82" i="9"/>
  <c r="F82" i="9" s="1"/>
  <c r="E76" i="9"/>
  <c r="F76" i="9" s="1"/>
  <c r="E83" i="9"/>
  <c r="F83" i="9" s="1"/>
  <c r="E86" i="9"/>
  <c r="F86" i="9" s="1"/>
  <c r="E88" i="9"/>
  <c r="F88" i="9" s="1"/>
  <c r="E84" i="9"/>
  <c r="F84" i="9" s="1"/>
  <c r="E85" i="9"/>
  <c r="F85" i="9" s="1"/>
  <c r="E75" i="9"/>
  <c r="F75" i="9" s="1"/>
  <c r="E79" i="9"/>
  <c r="F79" i="9" s="1"/>
  <c r="E78" i="9"/>
  <c r="F78" i="9" s="1"/>
  <c r="E90" i="9"/>
  <c r="F90" i="9" s="1"/>
  <c r="A10" i="9"/>
  <c r="E63" i="9"/>
  <c r="A63" i="9"/>
  <c r="E63" i="8"/>
  <c r="A63" i="8"/>
  <c r="E63" i="1"/>
  <c r="E70" i="10"/>
  <c r="A63" i="1"/>
  <c r="C70" i="10"/>
  <c r="C72" i="10"/>
  <c r="D49" i="6"/>
  <c r="D50" i="6"/>
  <c r="B4" i="6"/>
  <c r="B5" i="6"/>
  <c r="B6" i="6"/>
  <c r="B7" i="6"/>
  <c r="B8" i="6"/>
  <c r="B9" i="6"/>
  <c r="B10" i="6"/>
  <c r="B11" i="6"/>
  <c r="B12" i="6"/>
  <c r="B13" i="6"/>
  <c r="B14" i="6"/>
  <c r="B15" i="6"/>
  <c r="B3" i="6"/>
  <c r="J12" i="9" l="1"/>
  <c r="J16" i="9"/>
  <c r="B54" i="6"/>
  <c r="G74" i="9"/>
  <c r="H74" i="9" s="1"/>
  <c r="G71" i="9"/>
  <c r="A95" i="9" s="1"/>
  <c r="G79" i="9"/>
  <c r="H79" i="9" s="1"/>
  <c r="G73" i="9"/>
  <c r="H73" i="9" s="1"/>
  <c r="G80" i="9"/>
  <c r="H80" i="9" s="1"/>
  <c r="G81" i="9"/>
  <c r="H81" i="9" s="1"/>
  <c r="G82" i="9"/>
  <c r="H82" i="9" s="1"/>
  <c r="G83" i="9"/>
  <c r="H83" i="9" s="1"/>
  <c r="G84" i="9"/>
  <c r="H84" i="9" s="1"/>
  <c r="G75" i="9"/>
  <c r="H75" i="9" s="1"/>
  <c r="G88" i="9"/>
  <c r="H88" i="9" s="1"/>
  <c r="G77" i="9"/>
  <c r="H77" i="9" s="1"/>
  <c r="G90" i="9"/>
  <c r="H90" i="9" s="1"/>
  <c r="G85" i="9"/>
  <c r="H85" i="9" s="1"/>
  <c r="G86" i="9"/>
  <c r="H86" i="9" s="1"/>
  <c r="G87" i="9"/>
  <c r="H87" i="9" s="1"/>
  <c r="G76" i="9"/>
  <c r="H76" i="9" s="1"/>
  <c r="G89" i="9"/>
  <c r="H89" i="9" s="1"/>
  <c r="G78" i="9"/>
  <c r="H78" i="9" s="1"/>
  <c r="G70" i="9"/>
  <c r="G72" i="9"/>
  <c r="H72" i="9"/>
  <c r="E61" i="9"/>
  <c r="A61" i="9"/>
  <c r="A62" i="9"/>
  <c r="E62" i="9"/>
  <c r="E62" i="8"/>
  <c r="A62" i="8"/>
  <c r="E61" i="8"/>
  <c r="A61" i="8"/>
  <c r="A61" i="1"/>
  <c r="E61" i="1"/>
  <c r="A62" i="1"/>
  <c r="E62" i="1"/>
  <c r="B16" i="6"/>
  <c r="B12" i="10" s="1"/>
  <c r="C47" i="6"/>
  <c r="J47" i="6"/>
  <c r="F28" i="6"/>
  <c r="J28" i="6"/>
  <c r="F13" i="6"/>
  <c r="J13" i="6"/>
  <c r="F29" i="6"/>
  <c r="J29" i="6"/>
  <c r="I12" i="6"/>
  <c r="J12" i="6"/>
  <c r="I11" i="6"/>
  <c r="J11" i="6"/>
  <c r="I27" i="6"/>
  <c r="J27" i="6"/>
  <c r="G26" i="6"/>
  <c r="J26" i="6"/>
  <c r="D25" i="6"/>
  <c r="J25" i="6"/>
  <c r="F15" i="6"/>
  <c r="J15" i="6"/>
  <c r="F30" i="6"/>
  <c r="J30" i="6"/>
  <c r="I14" i="6"/>
  <c r="J14" i="6"/>
  <c r="D6" i="6"/>
  <c r="C6" i="6" s="1"/>
  <c r="I31" i="6"/>
  <c r="J31" i="6"/>
  <c r="G46" i="6"/>
  <c r="J46" i="6"/>
  <c r="D5" i="6"/>
  <c r="C5" i="6" s="1"/>
  <c r="I28" i="6"/>
  <c r="C46" i="6"/>
  <c r="E28" i="6"/>
  <c r="C28" i="6"/>
  <c r="I46" i="6"/>
  <c r="F46" i="6"/>
  <c r="E27" i="6"/>
  <c r="C26" i="6"/>
  <c r="G27" i="6"/>
  <c r="D24" i="6"/>
  <c r="C24" i="6" s="1"/>
  <c r="I26" i="6"/>
  <c r="C27" i="6"/>
  <c r="F42" i="6"/>
  <c r="E42" i="6" s="1"/>
  <c r="I29" i="6"/>
  <c r="E26" i="6"/>
  <c r="E14" i="6"/>
  <c r="D37" i="6"/>
  <c r="F37" i="6" s="1"/>
  <c r="D28" i="6"/>
  <c r="H28" i="6"/>
  <c r="H27" i="6"/>
  <c r="H30" i="6"/>
  <c r="E29" i="6"/>
  <c r="F27" i="6"/>
  <c r="G28" i="6"/>
  <c r="F25" i="6"/>
  <c r="C40" i="6"/>
  <c r="G29" i="6"/>
  <c r="F24" i="6"/>
  <c r="H24" i="6" s="1"/>
  <c r="G24" i="6" s="1"/>
  <c r="C29" i="6"/>
  <c r="C14" i="6"/>
  <c r="D9" i="6"/>
  <c r="C9" i="6" s="1"/>
  <c r="F12" i="6"/>
  <c r="H15" i="6"/>
  <c r="I30" i="6"/>
  <c r="D7" i="6"/>
  <c r="F7" i="6" s="1"/>
  <c r="H7" i="6" s="1"/>
  <c r="D8" i="6"/>
  <c r="F8" i="6" s="1"/>
  <c r="D38" i="6"/>
  <c r="C38" i="6" s="1"/>
  <c r="D23" i="6"/>
  <c r="C23" i="6" s="1"/>
  <c r="F26" i="6"/>
  <c r="F11" i="6"/>
  <c r="H29" i="6"/>
  <c r="H14" i="6"/>
  <c r="D36" i="6"/>
  <c r="F36" i="6" s="1"/>
  <c r="H12" i="6"/>
  <c r="B32" i="6"/>
  <c r="D4" i="6"/>
  <c r="C4" i="6" s="1"/>
  <c r="D47" i="6"/>
  <c r="D35" i="6"/>
  <c r="C35" i="6" s="1"/>
  <c r="D20" i="6"/>
  <c r="C20" i="6" s="1"/>
  <c r="H26" i="6"/>
  <c r="H11" i="6"/>
  <c r="D22" i="6"/>
  <c r="F22" i="6" s="1"/>
  <c r="B48" i="6"/>
  <c r="D21" i="6"/>
  <c r="C21" i="6" s="1"/>
  <c r="D3" i="6"/>
  <c r="C3" i="6" s="1"/>
  <c r="D46" i="6"/>
  <c r="D31" i="6"/>
  <c r="D19" i="6"/>
  <c r="H25" i="6"/>
  <c r="B56" i="6"/>
  <c r="D15" i="6"/>
  <c r="D45" i="6"/>
  <c r="F45" i="6" s="1"/>
  <c r="D30" i="6"/>
  <c r="C56" i="6"/>
  <c r="D14" i="6"/>
  <c r="D44" i="6"/>
  <c r="C44" i="6" s="1"/>
  <c r="D29" i="6"/>
  <c r="F47" i="6"/>
  <c r="E56" i="6"/>
  <c r="D13" i="6"/>
  <c r="D43" i="6"/>
  <c r="C43" i="6" s="1"/>
  <c r="F31" i="6"/>
  <c r="D39" i="6"/>
  <c r="C39" i="6" s="1"/>
  <c r="H13" i="6"/>
  <c r="D12" i="6"/>
  <c r="D42" i="6"/>
  <c r="C42" i="6" s="1"/>
  <c r="D27" i="6"/>
  <c r="D11" i="6"/>
  <c r="D41" i="6"/>
  <c r="C41" i="6" s="1"/>
  <c r="D26" i="6"/>
  <c r="F14" i="6"/>
  <c r="H47" i="6"/>
  <c r="D10" i="6"/>
  <c r="F10" i="6" s="1"/>
  <c r="D40" i="6"/>
  <c r="F40" i="6" s="1"/>
  <c r="H46" i="6"/>
  <c r="H31" i="6"/>
  <c r="I25" i="6"/>
  <c r="C30" i="6"/>
  <c r="E25" i="6"/>
  <c r="C15" i="6"/>
  <c r="E15" i="6"/>
  <c r="C13" i="6"/>
  <c r="G15" i="6"/>
  <c r="C12" i="6"/>
  <c r="G14" i="6"/>
  <c r="G13" i="6"/>
  <c r="C11" i="6"/>
  <c r="G12" i="6"/>
  <c r="I13" i="6"/>
  <c r="C25" i="6"/>
  <c r="E47" i="6"/>
  <c r="E13" i="6"/>
  <c r="E12" i="6"/>
  <c r="I15" i="6"/>
  <c r="G25" i="6"/>
  <c r="E11" i="6"/>
  <c r="G11" i="6"/>
  <c r="E46" i="6"/>
  <c r="G47" i="6"/>
  <c r="G30" i="6"/>
  <c r="I47" i="6"/>
  <c r="E30" i="6"/>
  <c r="C31" i="6"/>
  <c r="E31" i="6"/>
  <c r="G31" i="6"/>
  <c r="A16" i="2"/>
  <c r="A17" i="2"/>
  <c r="A18" i="2"/>
  <c r="A19" i="2"/>
  <c r="A20" i="2"/>
  <c r="A21" i="2"/>
  <c r="A22" i="2"/>
  <c r="A23" i="2"/>
  <c r="A24" i="2"/>
  <c r="A25" i="2"/>
  <c r="A26" i="2"/>
  <c r="A27" i="2"/>
  <c r="A28" i="2"/>
  <c r="A29" i="2"/>
  <c r="A30" i="2"/>
  <c r="A31" i="2"/>
  <c r="A32" i="2"/>
  <c r="A33" i="2"/>
  <c r="A35" i="2"/>
  <c r="B58" i="1"/>
  <c r="C57" i="1"/>
  <c r="E57" i="1" s="1"/>
  <c r="C56" i="1"/>
  <c r="E56" i="1" s="1"/>
  <c r="C55" i="1"/>
  <c r="E55" i="1" s="1"/>
  <c r="C54" i="1"/>
  <c r="E54" i="1" s="1"/>
  <c r="C53" i="1"/>
  <c r="E53" i="1" s="1"/>
  <c r="C52" i="1"/>
  <c r="E52" i="1" s="1"/>
  <c r="C51" i="1"/>
  <c r="E51" i="1" s="1"/>
  <c r="C50" i="1"/>
  <c r="E50" i="1" s="1"/>
  <c r="C49" i="1"/>
  <c r="E49" i="1" s="1"/>
  <c r="C48" i="1"/>
  <c r="E48" i="1" s="1"/>
  <c r="C47" i="1"/>
  <c r="E47" i="1" s="1"/>
  <c r="C46" i="1"/>
  <c r="E46" i="1" s="1"/>
  <c r="C45" i="1"/>
  <c r="B8" i="1"/>
  <c r="C8" i="1"/>
  <c r="D8" i="1"/>
  <c r="I25" i="2"/>
  <c r="I35" i="2"/>
  <c r="I17" i="2"/>
  <c r="I18" i="2"/>
  <c r="I19" i="2"/>
  <c r="I20" i="2"/>
  <c r="I21" i="2"/>
  <c r="I22" i="2"/>
  <c r="I23" i="2"/>
  <c r="I24" i="2"/>
  <c r="I26" i="2"/>
  <c r="I27" i="2"/>
  <c r="I28" i="2"/>
  <c r="I29" i="2"/>
  <c r="I30" i="2"/>
  <c r="I31" i="2"/>
  <c r="I32" i="2"/>
  <c r="I33" i="2"/>
  <c r="I34" i="2"/>
  <c r="I16" i="2"/>
  <c r="B23" i="1"/>
  <c r="A56" i="12" l="1"/>
  <c r="A54" i="12"/>
  <c r="A33" i="10"/>
  <c r="A51" i="12"/>
  <c r="A47" i="12"/>
  <c r="A45" i="12"/>
  <c r="A22" i="10"/>
  <c r="A42" i="12"/>
  <c r="B55" i="6"/>
  <c r="C12" i="10" s="1"/>
  <c r="B52" i="6"/>
  <c r="D7" i="1"/>
  <c r="A38" i="12"/>
  <c r="A36" i="12"/>
  <c r="F39" i="6"/>
  <c r="H39" i="6" s="1"/>
  <c r="G39" i="6" s="1"/>
  <c r="F38" i="6"/>
  <c r="C37" i="6"/>
  <c r="C55" i="6"/>
  <c r="A36" i="10" s="1"/>
  <c r="A29" i="10"/>
  <c r="A27" i="10"/>
  <c r="E55" i="6"/>
  <c r="A40" i="10"/>
  <c r="B40" i="10" s="1"/>
  <c r="H40" i="10" s="1"/>
  <c r="A38" i="10"/>
  <c r="B38" i="10" s="1"/>
  <c r="C38" i="10" s="1"/>
  <c r="F21" i="6"/>
  <c r="E60" i="1"/>
  <c r="A60" i="1"/>
  <c r="A18" i="10"/>
  <c r="C19" i="10" s="1"/>
  <c r="A16" i="10"/>
  <c r="C8" i="6"/>
  <c r="E8" i="6"/>
  <c r="H8" i="6"/>
  <c r="G8" i="6" s="1"/>
  <c r="F6" i="6"/>
  <c r="H6" i="6" s="1"/>
  <c r="J6" i="6" s="1"/>
  <c r="I6" i="6" s="1"/>
  <c r="C7" i="6"/>
  <c r="E10" i="6"/>
  <c r="H10" i="6"/>
  <c r="C10" i="6"/>
  <c r="F9" i="6"/>
  <c r="J7" i="6"/>
  <c r="I7" i="6" s="1"/>
  <c r="G7" i="6"/>
  <c r="E7" i="6"/>
  <c r="F5" i="6"/>
  <c r="H5" i="6" s="1"/>
  <c r="J5" i="6" s="1"/>
  <c r="I5" i="6" s="1"/>
  <c r="F19" i="6"/>
  <c r="H19" i="6" s="1"/>
  <c r="J19" i="6" s="1"/>
  <c r="I19" i="6" s="1"/>
  <c r="C19" i="6"/>
  <c r="F23" i="6"/>
  <c r="H23" i="6" s="1"/>
  <c r="J24" i="6"/>
  <c r="I24" i="6" s="1"/>
  <c r="F44" i="6"/>
  <c r="H44" i="6" s="1"/>
  <c r="F41" i="6"/>
  <c r="E45" i="6"/>
  <c r="H45" i="6"/>
  <c r="C45" i="6"/>
  <c r="E44" i="6"/>
  <c r="F43" i="6"/>
  <c r="E40" i="6"/>
  <c r="H40" i="6"/>
  <c r="H37" i="6"/>
  <c r="E37" i="6"/>
  <c r="E36" i="6"/>
  <c r="H36" i="6"/>
  <c r="C36" i="6"/>
  <c r="E24" i="6"/>
  <c r="E22" i="6"/>
  <c r="H22" i="6"/>
  <c r="C22" i="6"/>
  <c r="F20" i="6"/>
  <c r="G54" i="6"/>
  <c r="F35" i="6"/>
  <c r="E35" i="6" s="1"/>
  <c r="H42" i="6"/>
  <c r="G56" i="6"/>
  <c r="F4" i="6"/>
  <c r="H4" i="6" s="1"/>
  <c r="F3" i="6"/>
  <c r="H3" i="6" s="1"/>
  <c r="D53" i="1"/>
  <c r="G53" i="1" s="1"/>
  <c r="D47" i="1"/>
  <c r="G47" i="1" s="1"/>
  <c r="D55" i="1"/>
  <c r="G55" i="1" s="1"/>
  <c r="C58" i="1"/>
  <c r="D51" i="1"/>
  <c r="G51" i="1" s="1"/>
  <c r="D57" i="1"/>
  <c r="G57" i="1" s="1"/>
  <c r="E45" i="1"/>
  <c r="E58" i="1" s="1"/>
  <c r="D49" i="1"/>
  <c r="G49" i="1" s="1"/>
  <c r="D45" i="1"/>
  <c r="D48" i="1"/>
  <c r="G48" i="1" s="1"/>
  <c r="D52" i="1"/>
  <c r="G52" i="1" s="1"/>
  <c r="D56" i="1"/>
  <c r="G56" i="1" s="1"/>
  <c r="D46" i="1"/>
  <c r="G46" i="1" s="1"/>
  <c r="D50" i="1"/>
  <c r="G50" i="1" s="1"/>
  <c r="D54" i="1"/>
  <c r="G54" i="1" s="1"/>
  <c r="F26" i="1"/>
  <c r="A34" i="2"/>
  <c r="C37" i="10" l="1"/>
  <c r="B36" i="10"/>
  <c r="H36" i="10" s="1"/>
  <c r="I36" i="10" s="1"/>
  <c r="J36" i="10" s="1"/>
  <c r="C36" i="10"/>
  <c r="H38" i="10"/>
  <c r="A23" i="10"/>
  <c r="C13" i="10"/>
  <c r="A34" i="12"/>
  <c r="C35" i="12" s="1"/>
  <c r="H12" i="10"/>
  <c r="B7" i="10"/>
  <c r="H7" i="10" s="1"/>
  <c r="C17" i="10"/>
  <c r="A11" i="10"/>
  <c r="A12" i="10"/>
  <c r="A14" i="10"/>
  <c r="A33" i="12"/>
  <c r="A34" i="10"/>
  <c r="C35" i="10"/>
  <c r="B34" i="10"/>
  <c r="A52" i="12"/>
  <c r="B54" i="12"/>
  <c r="B56" i="12"/>
  <c r="H56" i="12" s="1"/>
  <c r="I56" i="12" s="1"/>
  <c r="J56" i="12" s="1"/>
  <c r="C46" i="12"/>
  <c r="B45" i="12"/>
  <c r="H45" i="12" s="1"/>
  <c r="I45" i="12" s="1"/>
  <c r="J45" i="12" s="1"/>
  <c r="A25" i="10"/>
  <c r="B23" i="10"/>
  <c r="C23" i="10" s="1"/>
  <c r="C24" i="10"/>
  <c r="A43" i="12"/>
  <c r="C47" i="12"/>
  <c r="C48" i="12"/>
  <c r="B47" i="12"/>
  <c r="H47" i="12" s="1"/>
  <c r="I47" i="12" s="1"/>
  <c r="J47" i="12" s="1"/>
  <c r="C10" i="10"/>
  <c r="A9" i="10"/>
  <c r="C9" i="10"/>
  <c r="B9" i="10"/>
  <c r="H9" i="10" s="1"/>
  <c r="C7" i="10"/>
  <c r="A7" i="10"/>
  <c r="C8" i="10"/>
  <c r="C37" i="12"/>
  <c r="B36" i="12"/>
  <c r="C38" i="12"/>
  <c r="C39" i="12"/>
  <c r="B38" i="12"/>
  <c r="A5" i="10"/>
  <c r="B23" i="12"/>
  <c r="C24" i="12"/>
  <c r="C23" i="12"/>
  <c r="A23" i="12"/>
  <c r="E39" i="6"/>
  <c r="J39" i="6"/>
  <c r="I39" i="6" s="1"/>
  <c r="E38" i="6"/>
  <c r="H38" i="6"/>
  <c r="G55" i="6"/>
  <c r="C30" i="10"/>
  <c r="B29" i="10"/>
  <c r="C29" i="10"/>
  <c r="B27" i="10"/>
  <c r="H27" i="10" s="1"/>
  <c r="C28" i="10"/>
  <c r="I40" i="10"/>
  <c r="J40" i="10" s="1"/>
  <c r="H21" i="6"/>
  <c r="E21" i="6"/>
  <c r="E19" i="6"/>
  <c r="B16" i="10"/>
  <c r="H16" i="10" s="1"/>
  <c r="B18" i="10"/>
  <c r="H18" i="10" s="1"/>
  <c r="C18" i="10"/>
  <c r="C5" i="10"/>
  <c r="B5" i="10"/>
  <c r="H5" i="10" s="1"/>
  <c r="C6" i="10"/>
  <c r="C16" i="6"/>
  <c r="F46" i="1"/>
  <c r="F57" i="1"/>
  <c r="F56" i="1"/>
  <c r="F51" i="1"/>
  <c r="F50" i="1"/>
  <c r="F45" i="1"/>
  <c r="G45" i="1"/>
  <c r="G58" i="1" s="1"/>
  <c r="G6" i="6"/>
  <c r="F48" i="1"/>
  <c r="J8" i="6"/>
  <c r="I8" i="6" s="1"/>
  <c r="F55" i="1"/>
  <c r="F49" i="1"/>
  <c r="F53" i="1"/>
  <c r="F52" i="1"/>
  <c r="F47" i="1"/>
  <c r="F54" i="1"/>
  <c r="E6" i="6"/>
  <c r="G10" i="6"/>
  <c r="J10" i="6"/>
  <c r="I10" i="6" s="1"/>
  <c r="E9" i="6"/>
  <c r="H9" i="6"/>
  <c r="G5" i="6"/>
  <c r="E5" i="6"/>
  <c r="C32" i="6"/>
  <c r="G37" i="6"/>
  <c r="J37" i="6"/>
  <c r="I37" i="6" s="1"/>
  <c r="H41" i="6"/>
  <c r="E41" i="6"/>
  <c r="G40" i="6"/>
  <c r="J40" i="6"/>
  <c r="I40" i="6" s="1"/>
  <c r="G3" i="6"/>
  <c r="J3" i="6"/>
  <c r="I3" i="6" s="1"/>
  <c r="G44" i="6"/>
  <c r="J44" i="6"/>
  <c r="I44" i="6" s="1"/>
  <c r="G4" i="6"/>
  <c r="J4" i="6"/>
  <c r="I4" i="6" s="1"/>
  <c r="G22" i="6"/>
  <c r="J22" i="6"/>
  <c r="I22" i="6" s="1"/>
  <c r="G23" i="6"/>
  <c r="J23" i="6"/>
  <c r="I23" i="6" s="1"/>
  <c r="E23" i="6"/>
  <c r="G45" i="6"/>
  <c r="J45" i="6"/>
  <c r="I45" i="6" s="1"/>
  <c r="G42" i="6"/>
  <c r="J42" i="6"/>
  <c r="I42" i="6" s="1"/>
  <c r="G36" i="6"/>
  <c r="J36" i="6"/>
  <c r="I36" i="6" s="1"/>
  <c r="C48" i="6"/>
  <c r="E43" i="6"/>
  <c r="H43" i="6"/>
  <c r="E20" i="6"/>
  <c r="H20" i="6"/>
  <c r="H35" i="6"/>
  <c r="E4" i="6"/>
  <c r="E3" i="6"/>
  <c r="D58" i="1"/>
  <c r="C14" i="1"/>
  <c r="F36" i="1"/>
  <c r="C36" i="1"/>
  <c r="D36" i="1"/>
  <c r="A36" i="1"/>
  <c r="A14" i="1"/>
  <c r="D14" i="1"/>
  <c r="F14" i="1"/>
  <c r="F19" i="1"/>
  <c r="C16" i="10" l="1"/>
  <c r="H34" i="10"/>
  <c r="I34" i="10" s="1"/>
  <c r="J34" i="10" s="1"/>
  <c r="C34" i="10"/>
  <c r="C27" i="10"/>
  <c r="H54" i="12"/>
  <c r="I54" i="12" s="1"/>
  <c r="J54" i="12" s="1"/>
  <c r="C54" i="12"/>
  <c r="H23" i="10"/>
  <c r="A42" i="10"/>
  <c r="B42" i="10" s="1"/>
  <c r="H29" i="10"/>
  <c r="I29" i="10" s="1"/>
  <c r="J29" i="10" s="1"/>
  <c r="C15" i="10"/>
  <c r="B14" i="10"/>
  <c r="H14" i="10" s="1"/>
  <c r="B25" i="10"/>
  <c r="H25" i="10" s="1"/>
  <c r="I25" i="10" s="1"/>
  <c r="J25" i="10" s="1"/>
  <c r="A31" i="10"/>
  <c r="B31" i="10" s="1"/>
  <c r="C26" i="10"/>
  <c r="B52" i="12"/>
  <c r="C53" i="12"/>
  <c r="A49" i="12"/>
  <c r="A58" i="12"/>
  <c r="B43" i="12"/>
  <c r="H43" i="12" s="1"/>
  <c r="I43" i="12" s="1"/>
  <c r="J43" i="12" s="1"/>
  <c r="C44" i="12"/>
  <c r="C45" i="12"/>
  <c r="B34" i="12"/>
  <c r="C34" i="12" s="1"/>
  <c r="C36" i="12"/>
  <c r="G38" i="6"/>
  <c r="J38" i="6"/>
  <c r="I38" i="6" s="1"/>
  <c r="I38" i="10"/>
  <c r="J38" i="10" s="1"/>
  <c r="G21" i="6"/>
  <c r="J21" i="6"/>
  <c r="I21" i="6" s="1"/>
  <c r="I27" i="10"/>
  <c r="J27" i="10" s="1"/>
  <c r="C51" i="6"/>
  <c r="F58" i="1"/>
  <c r="J9" i="6"/>
  <c r="I9" i="6" s="1"/>
  <c r="I16" i="6" s="1"/>
  <c r="G9" i="6"/>
  <c r="G16" i="6" s="1"/>
  <c r="E32" i="6"/>
  <c r="G35" i="6"/>
  <c r="J35" i="6"/>
  <c r="I35" i="6" s="1"/>
  <c r="G20" i="6"/>
  <c r="J20" i="6"/>
  <c r="I20" i="6" s="1"/>
  <c r="G43" i="6"/>
  <c r="J43" i="6"/>
  <c r="I43" i="6" s="1"/>
  <c r="E48" i="6"/>
  <c r="D15" i="1"/>
  <c r="G41" i="6"/>
  <c r="J41" i="6"/>
  <c r="I41" i="6" s="1"/>
  <c r="E16" i="6"/>
  <c r="G19" i="6"/>
  <c r="A15" i="1"/>
  <c r="A16" i="1" s="1"/>
  <c r="A37" i="1"/>
  <c r="D37" i="1"/>
  <c r="C25" i="10" l="1"/>
  <c r="C14" i="10"/>
  <c r="I42" i="10"/>
  <c r="J42" i="10" s="1"/>
  <c r="C52" i="12"/>
  <c r="H52" i="12"/>
  <c r="I52" i="12" s="1"/>
  <c r="J52" i="12" s="1"/>
  <c r="I31" i="10"/>
  <c r="J31" i="10" s="1"/>
  <c r="C31" i="10"/>
  <c r="A10" i="1"/>
  <c r="H20" i="10"/>
  <c r="K16" i="1"/>
  <c r="K12" i="1"/>
  <c r="K13" i="1"/>
  <c r="L13" i="1"/>
  <c r="L16" i="1"/>
  <c r="I58" i="12"/>
  <c r="J58" i="12" s="1"/>
  <c r="B58" i="12"/>
  <c r="I49" i="12"/>
  <c r="J49" i="12" s="1"/>
  <c r="C49" i="12"/>
  <c r="B49" i="12"/>
  <c r="C43" i="12"/>
  <c r="C26" i="12"/>
  <c r="C25" i="12"/>
  <c r="B25" i="12"/>
  <c r="A25" i="12"/>
  <c r="G72" i="10"/>
  <c r="I72" i="10" s="1"/>
  <c r="G91" i="12"/>
  <c r="I32" i="6"/>
  <c r="L12" i="1"/>
  <c r="G48" i="6"/>
  <c r="G32" i="6"/>
  <c r="E51" i="6"/>
  <c r="I48" i="6"/>
  <c r="A38" i="1"/>
  <c r="J12" i="1" l="1"/>
  <c r="J13" i="1"/>
  <c r="J16" i="1"/>
  <c r="A6" i="14"/>
  <c r="A7" i="14" s="1"/>
  <c r="B27" i="12"/>
  <c r="H27" i="12" s="1"/>
  <c r="A27" i="12"/>
  <c r="C28" i="12"/>
  <c r="C27" i="12"/>
  <c r="A14" i="12"/>
  <c r="I91" i="12"/>
  <c r="J91" i="12" s="1"/>
  <c r="G71" i="1"/>
  <c r="A95" i="1" s="1"/>
  <c r="G72" i="1"/>
  <c r="E86" i="1"/>
  <c r="F86" i="1" s="1"/>
  <c r="E77" i="1"/>
  <c r="F77" i="1" s="1"/>
  <c r="E76" i="1"/>
  <c r="F76" i="1" s="1"/>
  <c r="E84" i="1"/>
  <c r="F84" i="1" s="1"/>
  <c r="E75" i="1"/>
  <c r="F75" i="1" s="1"/>
  <c r="E83" i="1"/>
  <c r="F83" i="1" s="1"/>
  <c r="E74" i="1"/>
  <c r="F74" i="1" s="1"/>
  <c r="E80" i="1"/>
  <c r="F80" i="1" s="1"/>
  <c r="E88" i="1"/>
  <c r="F88" i="1" s="1"/>
  <c r="E85" i="1"/>
  <c r="F85" i="1" s="1"/>
  <c r="E82" i="1"/>
  <c r="F82" i="1" s="1"/>
  <c r="E73" i="1"/>
  <c r="F73" i="1" s="1"/>
  <c r="E71" i="1"/>
  <c r="A94" i="1" s="1"/>
  <c r="E90" i="1"/>
  <c r="F90" i="1" s="1"/>
  <c r="E81" i="1"/>
  <c r="F81" i="1" s="1"/>
  <c r="E89" i="1"/>
  <c r="F89" i="1" s="1"/>
  <c r="E79" i="1"/>
  <c r="F79" i="1" s="1"/>
  <c r="E87" i="1"/>
  <c r="F87" i="1" s="1"/>
  <c r="E78" i="1"/>
  <c r="F78" i="1" s="1"/>
  <c r="G81" i="1"/>
  <c r="H81" i="1" s="1"/>
  <c r="G88" i="1"/>
  <c r="H88" i="1" s="1"/>
  <c r="G84" i="1"/>
  <c r="H84" i="1" s="1"/>
  <c r="G77" i="1"/>
  <c r="H77" i="1" s="1"/>
  <c r="G73" i="1"/>
  <c r="H73" i="1" s="1"/>
  <c r="G74" i="1"/>
  <c r="H74" i="1" s="1"/>
  <c r="G87" i="1"/>
  <c r="H87" i="1" s="1"/>
  <c r="G80" i="1"/>
  <c r="H80" i="1" s="1"/>
  <c r="H72" i="1"/>
  <c r="G76" i="1"/>
  <c r="H76" i="1" s="1"/>
  <c r="G86" i="1"/>
  <c r="H86" i="1" s="1"/>
  <c r="G75" i="1"/>
  <c r="H75" i="1" s="1"/>
  <c r="G82" i="1"/>
  <c r="H82" i="1" s="1"/>
  <c r="G89" i="1"/>
  <c r="H89" i="1" s="1"/>
  <c r="G85" i="1"/>
  <c r="H85" i="1" s="1"/>
  <c r="G90" i="1"/>
  <c r="H90" i="1" s="1"/>
  <c r="G83" i="1"/>
  <c r="H83" i="1" s="1"/>
  <c r="G79" i="1"/>
  <c r="H79" i="1" s="1"/>
  <c r="G70" i="1"/>
  <c r="G78" i="1"/>
  <c r="H78" i="1" s="1"/>
  <c r="I51" i="6"/>
  <c r="G51" i="6"/>
  <c r="A138" i="14" l="1"/>
  <c r="A55" i="14"/>
  <c r="A252" i="14"/>
  <c r="A128" i="14"/>
  <c r="A281" i="14"/>
  <c r="A186" i="14"/>
  <c r="A13" i="14"/>
  <c r="A232" i="14"/>
  <c r="A67" i="14"/>
  <c r="A178" i="14"/>
  <c r="A11" i="14"/>
  <c r="A287" i="14"/>
  <c r="A289" i="14"/>
  <c r="A275" i="14"/>
  <c r="A34" i="14"/>
  <c r="A258" i="14"/>
  <c r="A20" i="14"/>
  <c r="A12" i="14"/>
  <c r="A115" i="14"/>
  <c r="A57" i="14"/>
  <c r="A112" i="14"/>
  <c r="A69" i="14"/>
  <c r="A155" i="14"/>
  <c r="A89" i="14"/>
  <c r="A18" i="14"/>
  <c r="A235" i="14"/>
  <c r="A68" i="14"/>
  <c r="A151" i="14"/>
  <c r="A79" i="14"/>
  <c r="A248" i="14"/>
  <c r="A47" i="14"/>
  <c r="A206" i="14"/>
  <c r="A177" i="14"/>
  <c r="A244" i="14"/>
  <c r="A301" i="14"/>
  <c r="A16" i="14"/>
  <c r="A195" i="14"/>
  <c r="A49" i="14"/>
  <c r="A286" i="14"/>
  <c r="A123" i="14"/>
  <c r="A80" i="14"/>
  <c r="A167" i="14"/>
  <c r="A99" i="14"/>
  <c r="A251" i="14"/>
  <c r="A51" i="14"/>
  <c r="A207" i="14"/>
  <c r="A154" i="14"/>
  <c r="A107" i="14"/>
  <c r="A198" i="14"/>
  <c r="A64" i="14"/>
  <c r="A120" i="14"/>
  <c r="A100" i="14"/>
  <c r="A168" i="14"/>
  <c r="A105" i="14"/>
  <c r="A259" i="14"/>
  <c r="A66" i="14"/>
  <c r="A208" i="14"/>
  <c r="A162" i="14"/>
  <c r="A129" i="14"/>
  <c r="A209" i="14"/>
  <c r="A77" i="14"/>
  <c r="A262" i="14"/>
  <c r="A15" i="14"/>
  <c r="A121" i="14"/>
  <c r="A29" i="14"/>
  <c r="A81" i="14"/>
  <c r="A101" i="14"/>
  <c r="A180" i="14"/>
  <c r="A122" i="14"/>
  <c r="A271" i="14"/>
  <c r="A78" i="14"/>
  <c r="A217" i="14"/>
  <c r="A201" i="14"/>
  <c r="A136" i="14"/>
  <c r="A218" i="14"/>
  <c r="A96" i="14"/>
  <c r="A282" i="14"/>
  <c r="A23" i="14"/>
  <c r="A135" i="14"/>
  <c r="A32" i="14"/>
  <c r="A159" i="14"/>
  <c r="A38" i="14"/>
  <c r="A156" i="14"/>
  <c r="A59" i="14"/>
  <c r="A127" i="14"/>
  <c r="A194" i="14"/>
  <c r="A229" i="14"/>
  <c r="A71" i="14"/>
  <c r="A295" i="14"/>
  <c r="A131" i="14"/>
  <c r="A272" i="14"/>
  <c r="A102" i="14"/>
  <c r="A197" i="14"/>
  <c r="A150" i="14"/>
  <c r="A300" i="14"/>
  <c r="A98" i="14"/>
  <c r="A228" i="14"/>
  <c r="A253" i="14"/>
  <c r="A141" i="14"/>
  <c r="A231" i="14"/>
  <c r="A108" i="14"/>
  <c r="A285" i="14"/>
  <c r="A25" i="14"/>
  <c r="A35" i="14"/>
  <c r="A160" i="14"/>
  <c r="A41" i="14"/>
  <c r="A161" i="14"/>
  <c r="A74" i="14"/>
  <c r="A139" i="14"/>
  <c r="A202" i="14"/>
  <c r="A245" i="14"/>
  <c r="A19" i="14"/>
  <c r="A152" i="14"/>
  <c r="A283" i="14"/>
  <c r="A103" i="14"/>
  <c r="A234" i="14"/>
  <c r="A149" i="14"/>
  <c r="A114" i="14"/>
  <c r="A147" i="14"/>
  <c r="A200" i="14"/>
  <c r="A83" i="14"/>
  <c r="A73" i="14"/>
  <c r="A166" i="14"/>
  <c r="A273" i="14"/>
  <c r="A145" i="14"/>
  <c r="A224" i="14"/>
  <c r="A140" i="14"/>
  <c r="A72" i="14"/>
  <c r="A204" i="14"/>
  <c r="A169" i="14"/>
  <c r="A106" i="14"/>
  <c r="A284" i="14"/>
  <c r="A246" i="14"/>
  <c r="A292" i="14"/>
  <c r="A46" i="14"/>
  <c r="A61" i="14"/>
  <c r="A45" i="14"/>
  <c r="A212" i="14"/>
  <c r="A213" i="14"/>
  <c r="A274" i="14"/>
  <c r="A24" i="14"/>
  <c r="A305" i="14"/>
  <c r="A291" i="14"/>
  <c r="A157" i="14"/>
  <c r="A58" i="14"/>
  <c r="A158" i="14"/>
  <c r="A221" i="14"/>
  <c r="A164" i="14"/>
  <c r="A21" i="14"/>
  <c r="A44" i="14"/>
  <c r="A104" i="14"/>
  <c r="A223" i="14"/>
  <c r="A179" i="14"/>
  <c r="A255" i="14"/>
  <c r="A111" i="14"/>
  <c r="A242" i="14"/>
  <c r="A30" i="14"/>
  <c r="A171" i="14"/>
  <c r="A269" i="14"/>
  <c r="A116" i="14"/>
  <c r="A294" i="14"/>
  <c r="A50" i="14"/>
  <c r="A199" i="14"/>
  <c r="A62" i="14"/>
  <c r="A211" i="14"/>
  <c r="A53" i="14"/>
  <c r="A226" i="14"/>
  <c r="A84" i="14"/>
  <c r="A182" i="14"/>
  <c r="A225" i="14"/>
  <c r="A280" i="14"/>
  <c r="A82" i="14"/>
  <c r="A26" i="14"/>
  <c r="A181" i="14"/>
  <c r="A304" i="14"/>
  <c r="A117" i="14"/>
  <c r="A279" i="14"/>
  <c r="A205" i="14"/>
  <c r="A188" i="14"/>
  <c r="A119" i="14"/>
  <c r="A270" i="14"/>
  <c r="A36" i="14"/>
  <c r="A172" i="14"/>
  <c r="A278" i="14"/>
  <c r="A125" i="14"/>
  <c r="A303" i="14"/>
  <c r="A54" i="14"/>
  <c r="A210" i="14"/>
  <c r="A76" i="14"/>
  <c r="A256" i="14"/>
  <c r="A60" i="14"/>
  <c r="A230" i="14"/>
  <c r="A85" i="14"/>
  <c r="A183" i="14"/>
  <c r="A238" i="14"/>
  <c r="A293" i="14"/>
  <c r="A113" i="14"/>
  <c r="A31" i="14"/>
  <c r="A196" i="14"/>
  <c r="A163" i="14"/>
  <c r="A143" i="14"/>
  <c r="A240" i="14"/>
  <c r="A176" i="14"/>
  <c r="A263" i="14"/>
  <c r="A134" i="14"/>
  <c r="A118" i="14"/>
  <c r="A187" i="14"/>
  <c r="A48" i="14"/>
  <c r="A97" i="14"/>
  <c r="A95" i="14"/>
  <c r="A133" i="14"/>
  <c r="A52" i="14"/>
  <c r="A261" i="14"/>
  <c r="A214" i="14"/>
  <c r="A70" i="14"/>
  <c r="A277" i="14"/>
  <c r="A190" i="14"/>
  <c r="A27" i="14"/>
  <c r="A302" i="14"/>
  <c r="A126" i="14"/>
  <c r="A14" i="14"/>
  <c r="A216" i="14"/>
  <c r="A192" i="14"/>
  <c r="A137" i="14"/>
  <c r="A290" i="14"/>
  <c r="A39" i="14"/>
  <c r="A173" i="14"/>
  <c r="A296" i="14"/>
  <c r="A148" i="14"/>
  <c r="A306" i="14"/>
  <c r="A63" i="14"/>
  <c r="A236" i="14"/>
  <c r="A91" i="14"/>
  <c r="A264" i="14"/>
  <c r="A75" i="14"/>
  <c r="A233" i="14"/>
  <c r="A86" i="14"/>
  <c r="A184" i="14"/>
  <c r="A243" i="14"/>
  <c r="A254" i="14"/>
  <c r="A144" i="14"/>
  <c r="A37" i="14"/>
  <c r="A203" i="14"/>
  <c r="A130" i="14"/>
  <c r="A17" i="14"/>
  <c r="A222" i="14"/>
  <c r="A299" i="14"/>
  <c r="A142" i="14"/>
  <c r="A260" i="14"/>
  <c r="A42" i="14"/>
  <c r="A174" i="14"/>
  <c r="A241" i="14"/>
  <c r="A219" i="14"/>
  <c r="A239" i="14"/>
  <c r="A92" i="14"/>
  <c r="A249" i="14"/>
  <c r="A124" i="14"/>
  <c r="A265" i="14"/>
  <c r="A90" i="14"/>
  <c r="A276" i="14"/>
  <c r="A87" i="14"/>
  <c r="A185" i="14"/>
  <c r="A250" i="14"/>
  <c r="A288" i="14"/>
  <c r="A153" i="14"/>
  <c r="A40" i="14"/>
  <c r="A215" i="14"/>
  <c r="A22" i="14"/>
  <c r="A56" i="14"/>
  <c r="A237" i="14"/>
  <c r="A10" i="14"/>
  <c r="A170" i="14"/>
  <c r="A298" i="14"/>
  <c r="A175" i="14"/>
  <c r="A247" i="14"/>
  <c r="A220" i="14"/>
  <c r="A93" i="14"/>
  <c r="A268" i="14"/>
  <c r="A266" i="14"/>
  <c r="A109" i="14"/>
  <c r="A88" i="14"/>
  <c r="A257" i="14"/>
  <c r="A43" i="14"/>
  <c r="A28" i="14"/>
  <c r="A33" i="14"/>
  <c r="A65" i="14"/>
  <c r="A227" i="14"/>
  <c r="A94" i="14"/>
  <c r="A267" i="14"/>
  <c r="A110" i="14"/>
  <c r="A165" i="14"/>
  <c r="A132" i="14"/>
  <c r="A146" i="14"/>
  <c r="A189" i="14"/>
  <c r="A193" i="14"/>
  <c r="A297" i="14"/>
  <c r="A191" i="14"/>
  <c r="B31" i="12"/>
  <c r="A31" i="12"/>
  <c r="C32" i="12"/>
  <c r="C31" i="12"/>
  <c r="A29" i="12"/>
  <c r="C30" i="12"/>
  <c r="C29" i="12"/>
  <c r="B29" i="12"/>
  <c r="I27" i="12"/>
  <c r="J27" i="12" l="1"/>
  <c r="I70" i="10" l="1"/>
  <c r="H10" i="12" l="1"/>
  <c r="I10" i="12" s="1"/>
  <c r="J10" i="12" s="1"/>
  <c r="H12" i="12"/>
  <c r="I12" i="12" s="1"/>
  <c r="J12" i="12" s="1"/>
  <c r="H7" i="12"/>
  <c r="I7" i="12" s="1"/>
  <c r="J7" i="12" s="1"/>
  <c r="H16" i="12"/>
  <c r="I16" i="12" s="1"/>
  <c r="J16" i="12" s="1"/>
  <c r="H21" i="12"/>
  <c r="H5" i="12"/>
  <c r="I23" i="10"/>
  <c r="J23" i="10" s="1"/>
  <c r="H14" i="12"/>
  <c r="I14" i="12" s="1"/>
  <c r="J14" i="12" s="1"/>
  <c r="I9" i="10" l="1"/>
  <c r="J9" i="10" s="1"/>
  <c r="I12" i="10"/>
  <c r="J12" i="10" s="1"/>
  <c r="H31" i="12"/>
  <c r="I31" i="12" s="1"/>
  <c r="J31" i="12" s="1"/>
  <c r="I7" i="10"/>
  <c r="J7" i="10" s="1"/>
  <c r="I5" i="10"/>
  <c r="J5" i="10" s="1"/>
  <c r="H25" i="12"/>
  <c r="I25" i="12" s="1"/>
  <c r="J25" i="12" s="1"/>
  <c r="H40" i="12"/>
  <c r="I40" i="12" s="1"/>
  <c r="J40" i="12" s="1"/>
  <c r="I60" i="12"/>
  <c r="I63" i="12" s="1"/>
  <c r="I18" i="10"/>
  <c r="J18" i="10" s="1"/>
  <c r="H38" i="12"/>
  <c r="I38" i="12" s="1"/>
  <c r="J38" i="12" s="1"/>
  <c r="H23" i="12"/>
  <c r="I23" i="12" s="1"/>
  <c r="I16" i="10"/>
  <c r="J16" i="10" s="1"/>
  <c r="H36" i="12"/>
  <c r="I36" i="12" s="1"/>
  <c r="J36" i="12" s="1"/>
  <c r="I14" i="10"/>
  <c r="J14" i="10" s="1"/>
  <c r="H34" i="12"/>
  <c r="I34" i="12" s="1"/>
  <c r="J34" i="12" s="1"/>
  <c r="H29" i="12"/>
  <c r="I29" i="12" s="1"/>
  <c r="J29" i="12" s="1"/>
  <c r="I20" i="10" l="1"/>
  <c r="J20" i="10" s="1"/>
  <c r="J23" i="12"/>
  <c r="I61" i="12"/>
  <c r="I44" i="10" l="1"/>
  <c r="I45" i="10" s="1"/>
  <c r="I47" i="10" s="1"/>
  <c r="I64" i="12"/>
  <c r="I62" i="12"/>
  <c r="I67" i="12" l="1"/>
</calcChain>
</file>

<file path=xl/sharedStrings.xml><?xml version="1.0" encoding="utf-8"?>
<sst xmlns="http://schemas.openxmlformats.org/spreadsheetml/2006/main" count="14149" uniqueCount="6123">
  <si>
    <t>cm</t>
  </si>
  <si>
    <t>inch</t>
  </si>
  <si>
    <t>PRODUCT 1</t>
  </si>
  <si>
    <t>us gpm</t>
  </si>
  <si>
    <t>L/min</t>
  </si>
  <si>
    <t>Gallons/Acre</t>
  </si>
  <si>
    <t>PRODUCT 2</t>
  </si>
  <si>
    <t>PRODUCT 3</t>
  </si>
  <si>
    <t># of Outlets</t>
  </si>
  <si>
    <t>90° or Straight</t>
  </si>
  <si>
    <t># of Manifolds/Sections</t>
  </si>
  <si>
    <t>Are manifolds center-fed with a TEE?</t>
  </si>
  <si>
    <t>If yes, uses 1x TEE and 2x end cap, per manifold.</t>
  </si>
  <si>
    <t>e.g. Starter, 28-0-0, humic acid, innoculant</t>
  </si>
  <si>
    <t># of Outlets in</t>
  </si>
  <si>
    <t>Section 1</t>
  </si>
  <si>
    <t>Section 2</t>
  </si>
  <si>
    <t>Section 3</t>
  </si>
  <si>
    <t>Section 4</t>
  </si>
  <si>
    <t>Section 5</t>
  </si>
  <si>
    <t>Section 6</t>
  </si>
  <si>
    <t>Section 7</t>
  </si>
  <si>
    <t>Section 8</t>
  </si>
  <si>
    <t>Section 9</t>
  </si>
  <si>
    <t>Section 10</t>
  </si>
  <si>
    <t>Section 11</t>
  </si>
  <si>
    <t>Section 12</t>
  </si>
  <si>
    <t>Section 13</t>
  </si>
  <si>
    <t>16CH Node usage</t>
  </si>
  <si>
    <t>Required Flow Rate
(only enter one)</t>
  </si>
  <si>
    <t>Total Outlets for ALL Products</t>
  </si>
  <si>
    <t>Name</t>
  </si>
  <si>
    <t>Speed (MPH)</t>
  </si>
  <si>
    <t>Speed (KPH)</t>
  </si>
  <si>
    <t>Outlet Types</t>
  </si>
  <si>
    <t>Outlet Sizes</t>
  </si>
  <si>
    <t>Outlet Orientation</t>
  </si>
  <si>
    <t>Inlet Sizes</t>
  </si>
  <si>
    <t>Straight</t>
  </si>
  <si>
    <t>Square Lug Port</t>
  </si>
  <si>
    <t>Inlet Orientation</t>
  </si>
  <si>
    <t>Center-Fed</t>
  </si>
  <si>
    <t>YES</t>
  </si>
  <si>
    <t>NO</t>
  </si>
  <si>
    <t>No outlets required</t>
  </si>
  <si>
    <t>[OPTIONAL[ Alternate Required Flow Rate
(only enter one)</t>
  </si>
  <si>
    <t xml:space="preserve">Inlet Orientation </t>
  </si>
  <si>
    <t>Is a metering orifice required?</t>
  </si>
  <si>
    <t>Metering Orifice Reqd?</t>
  </si>
  <si>
    <t>20500-00</t>
  </si>
  <si>
    <t>Part</t>
  </si>
  <si>
    <t>Size</t>
  </si>
  <si>
    <t>Orientation</t>
  </si>
  <si>
    <t>Type</t>
  </si>
  <si>
    <t>20501-00</t>
  </si>
  <si>
    <t>20502-00</t>
  </si>
  <si>
    <t>20503-00</t>
  </si>
  <si>
    <t>20504-00</t>
  </si>
  <si>
    <t>20511-00</t>
  </si>
  <si>
    <t>20512-00</t>
  </si>
  <si>
    <t>20514-00</t>
  </si>
  <si>
    <t>20513-00</t>
  </si>
  <si>
    <t>20516-00</t>
  </si>
  <si>
    <t>1/4" (~6mm)</t>
  </si>
  <si>
    <t>5/16" (~7.9mm)</t>
  </si>
  <si>
    <t>3/8" (~9.5mm)</t>
  </si>
  <si>
    <t>5/8" (~15.9mm)</t>
  </si>
  <si>
    <t>1/2" (~12.7mm)</t>
  </si>
  <si>
    <t>3/4" (~19mm)</t>
  </si>
  <si>
    <t>1" (~25.4mm)</t>
  </si>
  <si>
    <t>20515-00</t>
  </si>
  <si>
    <t>1" (~25mm)</t>
  </si>
  <si>
    <t>20528-00</t>
  </si>
  <si>
    <t>20517-00</t>
  </si>
  <si>
    <t>20506-00</t>
  </si>
  <si>
    <t>20508-00</t>
  </si>
  <si>
    <t>20507-00</t>
  </si>
  <si>
    <t>20518-00</t>
  </si>
  <si>
    <t>20519-00</t>
  </si>
  <si>
    <t>20549-00</t>
  </si>
  <si>
    <t>Inlet Fittings</t>
  </si>
  <si>
    <t>Inlet Types</t>
  </si>
  <si>
    <t>Inlet Fitting Type</t>
  </si>
  <si>
    <t>Inlet Fitting size</t>
  </si>
  <si>
    <t>Hose_Barb_OUtlets</t>
  </si>
  <si>
    <t>MATCHES?</t>
  </si>
  <si>
    <t>HoseBarbs</t>
  </si>
  <si>
    <t>StraightHoseBarbs</t>
  </si>
  <si>
    <t>StraightPushInTube</t>
  </si>
  <si>
    <t>NooutletsrequiredNooutletsrequired</t>
  </si>
  <si>
    <t>SquareLugPortSquareLugPort</t>
  </si>
  <si>
    <t>ThreadedFemale</t>
  </si>
  <si>
    <t>PushInTube</t>
  </si>
  <si>
    <t>NoOutletsRequired</t>
  </si>
  <si>
    <t>SquareLugPort</t>
  </si>
  <si>
    <t>ThreadedFemale90</t>
  </si>
  <si>
    <t>HoseBarbs90</t>
  </si>
  <si>
    <t>SquareLugOutlet</t>
  </si>
  <si>
    <t>Hosebarbs</t>
  </si>
  <si>
    <t>PushInTube90</t>
  </si>
  <si>
    <t>(e.g. 1 inch)
Available sizes depend on outlet fitting type and orientation</t>
  </si>
  <si>
    <t>NoInletRequired</t>
  </si>
  <si>
    <r>
      <rPr>
        <b/>
        <sz val="11"/>
        <color theme="1"/>
        <rFont val="Calibri"/>
        <family val="2"/>
        <scheme val="minor"/>
      </rPr>
      <t>Hosebarb</t>
    </r>
    <r>
      <rPr>
        <sz val="11"/>
        <color theme="1"/>
        <rFont val="Calibri"/>
        <family val="2"/>
        <scheme val="minor"/>
      </rPr>
      <t xml:space="preserve"> or
</t>
    </r>
    <r>
      <rPr>
        <b/>
        <sz val="11"/>
        <color theme="1"/>
        <rFont val="Calibri"/>
        <family val="2"/>
        <scheme val="minor"/>
      </rPr>
      <t>No Inlet Required</t>
    </r>
    <r>
      <rPr>
        <sz val="11"/>
        <color theme="1"/>
        <rFont val="Calibri"/>
        <family val="2"/>
        <scheme val="minor"/>
      </rPr>
      <t xml:space="preserve"> (if existing plumbing)
Other fittings may be feasible, but smaller sizes (refer to Outlets)</t>
    </r>
  </si>
  <si>
    <t>No Inlet required</t>
  </si>
  <si>
    <t>1. Outlet Fitting Type</t>
  </si>
  <si>
    <t>2. Outlet Orientation</t>
  </si>
  <si>
    <t>3. Outlet Fitting Size</t>
  </si>
  <si>
    <t>If existing or alternate metering is to be used, select no.</t>
  </si>
  <si>
    <r>
      <t xml:space="preserve">90° or Straight 
</t>
    </r>
    <r>
      <rPr>
        <sz val="11"/>
        <color theme="1"/>
        <rFont val="Calibri"/>
        <family val="2"/>
        <scheme val="minor"/>
      </rPr>
      <t>(If applicable)</t>
    </r>
  </si>
  <si>
    <t>Calculated Flow:</t>
  </si>
  <si>
    <t>Product Density
(only enter one)</t>
  </si>
  <si>
    <t>Select from:
Hosebarb
Push-in-Tube
Threaded
Square Lug
No Outlets Required</t>
  </si>
  <si>
    <t># of runs applying this product</t>
  </si>
  <si>
    <t>Product Density (kg/L)</t>
  </si>
  <si>
    <t>Side-Fed Manifold</t>
  </si>
  <si>
    <t>Center-fed Manifold</t>
  </si>
  <si>
    <t>Existing Plumbing (none req'd)</t>
  </si>
  <si>
    <t>Product Density 
(lb/Us gallon)
e.g.
Water = 8.34
28-0-0 = 10.65
10-34-0 = 11.4</t>
  </si>
  <si>
    <t xml:space="preserve">Specific Gravity
e.g. 
Water = 1
Urea  = 1.11
28-0-0 = 1.28
10-34-0 = 1.37
</t>
  </si>
  <si>
    <t>Please enter valid product density input.</t>
  </si>
  <si>
    <t>Conversion Factor</t>
  </si>
  <si>
    <t>If separate sections</t>
  </si>
  <si>
    <t>Extensions for separate sections</t>
  </si>
  <si>
    <t>Round Up</t>
  </si>
  <si>
    <t>Sets of Quad-Sensor Cbl</t>
  </si>
  <si>
    <t>Required Nodes for Central Layout</t>
  </si>
  <si>
    <t>Required Nodes for Separate Sections</t>
  </si>
  <si>
    <t>CENTRAL</t>
  </si>
  <si>
    <t>Quad Sensor Cable</t>
  </si>
  <si>
    <t>Product 1</t>
  </si>
  <si>
    <t>Outlet Fittings - PRODUCT 1</t>
  </si>
  <si>
    <t>Outlet Fittings - PRODUCT 2</t>
  </si>
  <si>
    <t>Outlet Fittings - PRODUCT 3</t>
  </si>
  <si>
    <t>Inlet Fittings - PRODUCT 3</t>
  </si>
  <si>
    <t>Inlet Fittings - PRODUCT 2</t>
  </si>
  <si>
    <t>Inlet Fittings - PRODUCT 1</t>
  </si>
  <si>
    <t>20603-00</t>
  </si>
  <si>
    <t>20621-00</t>
  </si>
  <si>
    <t>Description</t>
  </si>
  <si>
    <t>QTY</t>
  </si>
  <si>
    <t>Part #</t>
  </si>
  <si>
    <t>Electronic Components</t>
  </si>
  <si>
    <t xml:space="preserve">ECU Base Kit </t>
  </si>
  <si>
    <t>includes 20' battery harness, ECU, antenna, terminator</t>
  </si>
  <si>
    <t>MSRP</t>
  </si>
  <si>
    <t>includes Node, harness, 4x quad-sensor cables</t>
  </si>
  <si>
    <t>16Channel Node Kit (1 per up to 16 sensors)</t>
  </si>
  <si>
    <t>20612-00</t>
  </si>
  <si>
    <t>Required Node Caps</t>
  </si>
  <si>
    <t>6-pin Deutsch Cap, male (Caps off unused node harness cables</t>
  </si>
  <si>
    <t>16 Channel Node Cap</t>
  </si>
  <si>
    <t>CDN$</t>
  </si>
  <si>
    <t>Plumbing Components</t>
  </si>
  <si>
    <t>Plumbing Manifolds</t>
  </si>
  <si>
    <t>4-Outlet</t>
  </si>
  <si>
    <t>3-Outlet</t>
  </si>
  <si>
    <t>2-Outlet</t>
  </si>
  <si>
    <t>1-Outlet</t>
  </si>
  <si>
    <t>Total</t>
  </si>
  <si>
    <t>TOTAL Manifolds</t>
  </si>
  <si>
    <t>20644-00</t>
  </si>
  <si>
    <t>20643-00</t>
  </si>
  <si>
    <t>20642-00</t>
  </si>
  <si>
    <t>20641-00</t>
  </si>
  <si>
    <t>20521-00</t>
  </si>
  <si>
    <t>End Caps</t>
  </si>
  <si>
    <t xml:space="preserve">PROD 1 </t>
  </si>
  <si>
    <t>PROD 2</t>
  </si>
  <si>
    <t>PROD 3</t>
  </si>
  <si>
    <t>TOTAL</t>
  </si>
  <si>
    <t>Outlets</t>
  </si>
  <si>
    <t>Inlets</t>
  </si>
  <si>
    <t>4 OUT</t>
  </si>
  <si>
    <t>3 OUT</t>
  </si>
  <si>
    <t>2 OUT</t>
  </si>
  <si>
    <t>1 OUT</t>
  </si>
  <si>
    <t xml:space="preserve"> </t>
  </si>
  <si>
    <t>PART NO.</t>
  </si>
  <si>
    <t>DESCRIPTION</t>
  </si>
  <si>
    <t>10200-CN</t>
  </si>
  <si>
    <t>NOZZLE BROCHURE - CDN VERSION</t>
  </si>
  <si>
    <t>Saleable, Not in pricelist</t>
  </si>
  <si>
    <t>10200-US</t>
  </si>
  <si>
    <t>NOZZLE BROCHURE - USA VERSION</t>
  </si>
  <si>
    <t>10201-00</t>
  </si>
  <si>
    <t>10205-00</t>
  </si>
  <si>
    <t>COMBO-RATE BROCHURE</t>
  </si>
  <si>
    <t>10206-00</t>
  </si>
  <si>
    <t>COMBO-JET BODIES BROCHURE</t>
  </si>
  <si>
    <t>10209-00</t>
  </si>
  <si>
    <t>FLOW INDICATOR BROCHURE</t>
  </si>
  <si>
    <t xml:space="preserve">10211-00 </t>
  </si>
  <si>
    <t>KWIKSTOP BROCHURE</t>
  </si>
  <si>
    <t>10215-00</t>
  </si>
  <si>
    <t>QUICK-NUT SST BROCHURE</t>
  </si>
  <si>
    <t>20251-00</t>
  </si>
  <si>
    <t>MANIFOLD -1.5 x 1.5 x 2" ADAPTER, NY</t>
  </si>
  <si>
    <t>Saleable, Limited / Non-stocked</t>
  </si>
  <si>
    <t>20252-00</t>
  </si>
  <si>
    <t>MANIFOLD -1.5 x 1.5 x 1.5" - NYLON</t>
  </si>
  <si>
    <t>20253-00</t>
  </si>
  <si>
    <t>MANIFOLD -1.5 x 1.5 x 1.25" FE - NY</t>
  </si>
  <si>
    <t>20451-00</t>
  </si>
  <si>
    <t>MANIFOLD -1.5 x 1.5 x 2" ADAPTER, POLYPROP</t>
  </si>
  <si>
    <t>20452-00</t>
  </si>
  <si>
    <t>MANIFOLD -1.5 x 1.5 x 1.5" POLYPROP</t>
  </si>
  <si>
    <t>20453-00</t>
  </si>
  <si>
    <t>MANIFOLD -1.5 x 1.5 x 1.25" FE, POLYPROP</t>
  </si>
  <si>
    <t>20455-00</t>
  </si>
  <si>
    <t>AIR TEE , 3/8 x 3/8 x 1/4"</t>
  </si>
  <si>
    <t>20455-01</t>
  </si>
  <si>
    <t>AIR TEE BODY, 3/8 x 3/8 x 1/4"</t>
  </si>
  <si>
    <t>20455-04</t>
  </si>
  <si>
    <t>Saleable</t>
  </si>
  <si>
    <t>20455-07</t>
  </si>
  <si>
    <t>20455-V4</t>
  </si>
  <si>
    <t>20455-V7</t>
  </si>
  <si>
    <t>20456-00</t>
  </si>
  <si>
    <t>REDUCING ADAPTER , 3/8" x 1/4" TUBE</t>
  </si>
  <si>
    <t>20456-01</t>
  </si>
  <si>
    <t>REDUCING ADAPTER BODY, 3/8" x 1/4" TUBE</t>
  </si>
  <si>
    <t>20457-00</t>
  </si>
  <si>
    <t>AIR TEE , 5/16" x 5/16" x 1/4"</t>
  </si>
  <si>
    <t>20457-04</t>
  </si>
  <si>
    <t>20457-V4</t>
  </si>
  <si>
    <t>20458-100</t>
  </si>
  <si>
    <t>POLYETHYLENE TUBING, 1/4" O.D., 100 FT.</t>
  </si>
  <si>
    <t>20459-100</t>
  </si>
  <si>
    <t>POLYETHYLENE TUBING, 3/8" O.D., 100 FT.</t>
  </si>
  <si>
    <t>20460-00</t>
  </si>
  <si>
    <t>FLOW INDICATOR ASSEMBLY, MANIFOLD STYLE</t>
  </si>
  <si>
    <t>20460-01</t>
  </si>
  <si>
    <t>FLOW INDICATOR BODY, MANIFOLD STYLE</t>
  </si>
  <si>
    <t>20460-02</t>
  </si>
  <si>
    <t>BALL RETAINER</t>
  </si>
  <si>
    <t>20460-03</t>
  </si>
  <si>
    <t>20460-04</t>
  </si>
  <si>
    <t>LOCK U-CLIP, 302SS</t>
  </si>
  <si>
    <t>20460-05</t>
  </si>
  <si>
    <t>BALL - FLOW INDICATOR-1/2" STAINLESS STEEL 302</t>
  </si>
  <si>
    <t>20460-06</t>
  </si>
  <si>
    <t>BALL - FLOW INDICATOR- RED GLASS</t>
  </si>
  <si>
    <t>20460-07</t>
  </si>
  <si>
    <t>BALL - FLOW INDICATOR-RED CELCON</t>
  </si>
  <si>
    <t>20460-08</t>
  </si>
  <si>
    <t>BALL - FLOW INDICATOR-GREEN POLYPROP.</t>
  </si>
  <si>
    <t>20460-09</t>
  </si>
  <si>
    <t>BALL - FLOW INDICATOR-BLACK POLYPROP.</t>
  </si>
  <si>
    <t>20460-10</t>
  </si>
  <si>
    <t>BALL - FLOW INDICATOR-7/16" STAINLESS STEEL 302</t>
  </si>
  <si>
    <t>20460-11</t>
  </si>
  <si>
    <t>FLOW INDICATOR ACCESSORY KIT</t>
  </si>
  <si>
    <t>20460-12</t>
  </si>
  <si>
    <t xml:space="preserve">FLOW INDICATOR ACCESSORY KIT, VITON® </t>
  </si>
  <si>
    <t>20460-13</t>
  </si>
  <si>
    <t>BALL - FLOW INDICATOR-ORANGE POLYPROP.</t>
  </si>
  <si>
    <t>20460-15</t>
  </si>
  <si>
    <t>O-RING - VITON®  #212</t>
  </si>
  <si>
    <t>20460-16</t>
  </si>
  <si>
    <t>FLOW INDICATOR BODY O-RING REPLACEMENT KIT, BUNA-N</t>
  </si>
  <si>
    <t>20460-17</t>
  </si>
  <si>
    <t>FLOW INDICATOR BODY O-RING REPLACEMENT KIT, VITON®</t>
  </si>
  <si>
    <t>20460-18</t>
  </si>
  <si>
    <t>BALL - FLOW INDICATOR-WHITE CELCON</t>
  </si>
  <si>
    <t>20460-BULK</t>
  </si>
  <si>
    <t>FLOW INDICATOR ASSEMBLY, MANIFOLD STYLE, BULK PARTS</t>
  </si>
  <si>
    <t>20460-V0</t>
  </si>
  <si>
    <t>FLOW INDICATOR ASSEMBLY, MANIFOLD STYLE with VITON®  O-RING</t>
  </si>
  <si>
    <t>20470-00</t>
  </si>
  <si>
    <t>FLOW INDICATOR ASSEMBLY - MANIFOLD STYLE, LOW FLOW</t>
  </si>
  <si>
    <t>20470-01</t>
  </si>
  <si>
    <t>FLOW INDICATOR BODY - MANIFOLD STYLE, LOW FLOW</t>
  </si>
  <si>
    <t>20470-BULK</t>
  </si>
  <si>
    <t>FLOW INDICATOR ASSEMBLY, MANIFOLD STYLE, LOW FLOW, BULK PARTS</t>
  </si>
  <si>
    <t>FLOW INDICATOR ASSEMBLY, MANIFOLD STYLE, ULTRA LOW FLOW, BULK PARTS</t>
  </si>
  <si>
    <t>20470-V0</t>
  </si>
  <si>
    <t>FLOW INDICATOR ASSEMBLY- MANIFOLD STYLE, LOW VOLUME with VITON®  O-RING</t>
  </si>
  <si>
    <t>20475-00</t>
  </si>
  <si>
    <t>FLOW INDICATOR ASSEMBLY - MANIFOLD STYLE, ULTRA LOW FLOW</t>
  </si>
  <si>
    <t>20475-01</t>
  </si>
  <si>
    <t>FLOW INDICATOR BODY - MANIFOLD STYLE, ULTRA LOW FLOW</t>
  </si>
  <si>
    <t>20475-V0</t>
  </si>
  <si>
    <t>FLOW INDICATOR ASSEMBLY- MANIFOLD STYLE, ULTRA LOW VOLUME with VITON®  O-RING</t>
  </si>
  <si>
    <t>20480-00</t>
  </si>
  <si>
    <t>FLOW INDICATOR ASSEMBLY - ISOLATED FEED</t>
  </si>
  <si>
    <t>20480-01</t>
  </si>
  <si>
    <t>FLOW INDICATOR BODY - ISOLATED FEED</t>
  </si>
  <si>
    <t>20480-02</t>
  </si>
  <si>
    <t>FLOW INDICATOR ACCESSORY KIT,ISOLATED FEED</t>
  </si>
  <si>
    <t>20480-03</t>
  </si>
  <si>
    <t>20490-00</t>
  </si>
  <si>
    <t>FLOW INDICATOR ASSEMBLY - ISOLATED FEED, LOW FLOW</t>
  </si>
  <si>
    <t>20490-01</t>
  </si>
  <si>
    <t>FLOW INDICATOR BODY - ISOLATED FEED, LOW FLOW</t>
  </si>
  <si>
    <t>FITTING  - ORS x HOSE SHANK-STRAIGHT - 1/4"</t>
  </si>
  <si>
    <t>20500-01</t>
  </si>
  <si>
    <t>FITTING BODY - ORS x HOSE SHANK-STRAIGHT - 1/4"</t>
  </si>
  <si>
    <t>20500-V0</t>
  </si>
  <si>
    <t>FITTING  - VITON®  ORS x HOSE SHANK-STRAIGHT - 1/4"</t>
  </si>
  <si>
    <t>FITTING  - ORS x HOSE SHANK-STRAIGHT - 3/8"</t>
  </si>
  <si>
    <t>20501-01</t>
  </si>
  <si>
    <t>FITTING BODY - ORS x HOSE SHANK-STRAIGHT - 3/8"</t>
  </si>
  <si>
    <t>20501-V0</t>
  </si>
  <si>
    <t>FITTING  - VITON®  ORS x HOSE SHANK-STRAIGHT - 3/8"</t>
  </si>
  <si>
    <t>FITTING  - ORS x HOSE SHANK-STRAIGHT - 1/2"</t>
  </si>
  <si>
    <t>20502-01</t>
  </si>
  <si>
    <t>FITTING BODY - ORS x HOSE SHANK-STRAIGHT - 1/2"</t>
  </si>
  <si>
    <t>20502-V0</t>
  </si>
  <si>
    <t>FITTING  - VITON®  ORS x HOSE SHANK-STRAIGHT - 1/2"</t>
  </si>
  <si>
    <t>FITTING  - ORS x HOSE SHANK-STRAIGHT - 3/4"</t>
  </si>
  <si>
    <t>20503-01</t>
  </si>
  <si>
    <t>FITTING BODY - ORS x HOSE SHANK-STRAIGHT - 3/4"</t>
  </si>
  <si>
    <t>20503-V0</t>
  </si>
  <si>
    <t>FITTING  - VITON®  ORS x HOSE SHANK-STRAIGHT - 3/4"</t>
  </si>
  <si>
    <t>FITTING  - ORS x HOSE SHANK-STRAIGHT - 1"</t>
  </si>
  <si>
    <t>20504-01</t>
  </si>
  <si>
    <t>FITTING BODY - ORS x HOSE SHANK-STRAIGHT - 1"</t>
  </si>
  <si>
    <t>20504-V0</t>
  </si>
  <si>
    <t>FITTING  - VITON®  ORS x HOSE SHANK-STRAIGHT - 1"</t>
  </si>
  <si>
    <t>FITTING  - ORS x 1/4" PUSH-IN TUBE - STRAIGHT</t>
  </si>
  <si>
    <t>20506-01</t>
  </si>
  <si>
    <t>FITTING BODY - ORS x 1/4" PUSH-IN TUBE - STRAIGHT</t>
  </si>
  <si>
    <t>20506-V0</t>
  </si>
  <si>
    <t>FITTING  - VITON®  ORS x 1/4" PUSH-IN TUBE - STRAIGHT</t>
  </si>
  <si>
    <t>FITTING  - ORS x 3/8" PUSH-IN TUBE - STRAIGHT</t>
  </si>
  <si>
    <t>20507-01</t>
  </si>
  <si>
    <t>FITTING BODY - ORS x 3/8" PUSH-IN TUBE - STRAIGHT</t>
  </si>
  <si>
    <t>20507-V0</t>
  </si>
  <si>
    <t>FITTING  - VITON®  ORS x 3/8" PUSH-IN TUBE - STRAIGHT</t>
  </si>
  <si>
    <t>FITTING  - ORS x 5/16" PUSH-IN TUBE - STRAIGHT</t>
  </si>
  <si>
    <t>20508-V0</t>
  </si>
  <si>
    <t>FITTING  - VITON®  ORS x 5/16" PUSH-IN TUBE - STRAIGHT</t>
  </si>
  <si>
    <t>FITTING  - ORS x HOSE SHANK-90° - 3/8"</t>
  </si>
  <si>
    <t>20511-01</t>
  </si>
  <si>
    <t>FITTING BODY - ORS x HOSE SHANK-90° - 3/8"</t>
  </si>
  <si>
    <t>20511-V0</t>
  </si>
  <si>
    <t>FITTING  - VITON®  ORS x HOSE SHANK-90° - 3/8"</t>
  </si>
  <si>
    <t>FITTING  - ORS x HOSE SHANK-90° - 1/2"</t>
  </si>
  <si>
    <t>20512-01</t>
  </si>
  <si>
    <t>FITTING BODY - ORS x HOSE SHANK-90° - 1/2"</t>
  </si>
  <si>
    <t>20512-V0</t>
  </si>
  <si>
    <t>FITTING  - VITON®  ORS x HOSE SHANK-90° - 1/2"</t>
  </si>
  <si>
    <t>FITTING  - ORS x HOSE SHANK-90° - 3/4"</t>
  </si>
  <si>
    <t>20513-01</t>
  </si>
  <si>
    <t>FITTING BODY - ORS x HOSE SHANK-90° - 3/4"</t>
  </si>
  <si>
    <t>20513-V0</t>
  </si>
  <si>
    <t>FITTING  - VITON®  ORS x HOSE SHANK-90° - 3/4"</t>
  </si>
  <si>
    <t>FITTING  - ORS x HOSE SHANK-90° - 5/8"</t>
  </si>
  <si>
    <t>20514-01</t>
  </si>
  <si>
    <t>FITTING BODY - ORS x HOSE SHANK-90° - 5/8"</t>
  </si>
  <si>
    <t>20514-V0</t>
  </si>
  <si>
    <t>FITTING  - VITON®  ORS x HOSE SHANK-90° - 5/8"</t>
  </si>
  <si>
    <t>FITTING  - ORS x HOSE SHANK-90° - 1"</t>
  </si>
  <si>
    <t>20515-01</t>
  </si>
  <si>
    <t>FITTING BODY - ORS x HOSE SHANK-90° - 1"</t>
  </si>
  <si>
    <t>20515-V0</t>
  </si>
  <si>
    <t>FITTING  - VITON®  ORS x HOSE SHANK-90° - 1"</t>
  </si>
  <si>
    <t>FITTING  - ORS x 1/4" PUSH-IN TUBE - 90°</t>
  </si>
  <si>
    <t>20516-01</t>
  </si>
  <si>
    <t>FITTING BODY - ORS x 1/4" PUSH-IN TUBE - 90°</t>
  </si>
  <si>
    <t>20516-V0</t>
  </si>
  <si>
    <t>FITTING  - VITON®  ORS x 1/4" PUSH-IN TUBE - 90°</t>
  </si>
  <si>
    <t>FITTING  - ORS x 3/8" PUSH-IN TUBE - 90°</t>
  </si>
  <si>
    <t>20517-01</t>
  </si>
  <si>
    <t>FITTING BODY - ORS x 3/8" PUSH-IN TUBE - 90°</t>
  </si>
  <si>
    <t>20517-V0</t>
  </si>
  <si>
    <t>FITTING  - VITON®  ORS x 3/8" PUSH-IN TUBE - 90°</t>
  </si>
  <si>
    <t>FITTING  - ORS MALE x 1/4" NPT FE 90°</t>
  </si>
  <si>
    <t>20518-01</t>
  </si>
  <si>
    <t xml:space="preserve">FITTING BODY - ORS MALE x 1/4" NPT FE 90° </t>
  </si>
  <si>
    <t>20518-V0</t>
  </si>
  <si>
    <t>FITTING  - VITON®  ORS MALE x 1/4" NPT FE 90°</t>
  </si>
  <si>
    <t xml:space="preserve">FITTING  - ORS MALE x 1/4" NPT FE </t>
  </si>
  <si>
    <t>20519-01</t>
  </si>
  <si>
    <t xml:space="preserve">FITTING BODY - ORS MALE x 1/4" NPT FE </t>
  </si>
  <si>
    <t>20519-V0</t>
  </si>
  <si>
    <t xml:space="preserve">FITTING  - VITON®  ORS MALE x 1/4" NPT FE </t>
  </si>
  <si>
    <t>20520-00</t>
  </si>
  <si>
    <t xml:space="preserve">FITTING  - ORS MALE x ORS FEMALE-90° </t>
  </si>
  <si>
    <t>20520-01</t>
  </si>
  <si>
    <t xml:space="preserve">FITTING BODY - ORS MALE x ORS FEMALE-90° </t>
  </si>
  <si>
    <t>20520-V0</t>
  </si>
  <si>
    <t xml:space="preserve">FITTING  - VITON®  ORS MALE x ORS FEMALE-90° </t>
  </si>
  <si>
    <t>CAP ASSY - ORS</t>
  </si>
  <si>
    <t>20521-01</t>
  </si>
  <si>
    <t>CAP BODY - ORS</t>
  </si>
  <si>
    <t>20522-00</t>
  </si>
  <si>
    <t xml:space="preserve">FITTING  - ORS MALE x ORS MALE X ORS FEMALE- TEE </t>
  </si>
  <si>
    <t>20522-01</t>
  </si>
  <si>
    <t xml:space="preserve">FITTING BODY - ORS MALE x ORS MALE X ORS FEMALE- TEE </t>
  </si>
  <si>
    <t>20522-V0</t>
  </si>
  <si>
    <t xml:space="preserve">FITTING  - VITON®  ORS MALE x VITON®  ORS MALE X ORS FEMALE- TEE </t>
  </si>
  <si>
    <t>20523-00</t>
  </si>
  <si>
    <t xml:space="preserve">FITTING  - ORS MALE x ORS FEMALE X 3/8" NPT FE- ISOLATOR TEE </t>
  </si>
  <si>
    <t>20523-01</t>
  </si>
  <si>
    <t xml:space="preserve">FITTING BODY - ORS MALE x ORS FEMALE X 3/8" NPT FE - ISOLATOR TEE </t>
  </si>
  <si>
    <t>20523-V0</t>
  </si>
  <si>
    <t xml:space="preserve">FITTING  -VITON®  ORS MALE x VITON®  ORS FEMALE X 3/8" NPT FE-ISOLATOR TEE </t>
  </si>
  <si>
    <t>20524-00</t>
  </si>
  <si>
    <t xml:space="preserve">FITTING  - ORS MALE x ORS FEMALE X 3/8" NPT FE - TEE </t>
  </si>
  <si>
    <t>20524-01</t>
  </si>
  <si>
    <t xml:space="preserve">FITTING BODY - ORS MALE x ORS FEMALE X 3/8" NPT FE- TEE </t>
  </si>
  <si>
    <t>20524-V0</t>
  </si>
  <si>
    <t xml:space="preserve">FITTING  -VITON®  ORS MALE x VITON®  ORS FEMALE X 3/8" NPT FE- TEE </t>
  </si>
  <si>
    <t>20525-00</t>
  </si>
  <si>
    <t xml:space="preserve">FITTING  - ORS MALE x ORS MALE X 1" NPT FE- TEE </t>
  </si>
  <si>
    <t>20525-01</t>
  </si>
  <si>
    <t xml:space="preserve">FITTING BODY - ORS MALE x ORS MALE X 1" NPT FE- TEE </t>
  </si>
  <si>
    <t>20525-V0</t>
  </si>
  <si>
    <t xml:space="preserve">FITTING  -VITON®  ORS MALE x VITON®  ORS MALE X 1" NPT FE- TEE </t>
  </si>
  <si>
    <t>20526-00</t>
  </si>
  <si>
    <t>FITTING  - ORS MALE x ORS MALE X ORS FEMALE- TEE with 1/4" NPT</t>
  </si>
  <si>
    <t>20526-01</t>
  </si>
  <si>
    <t xml:space="preserve">FITTING BODY - ORS MALE x ORS MALE X ORS FEMALE- TEE with 1/4" NPT </t>
  </si>
  <si>
    <t>20526-V0</t>
  </si>
  <si>
    <t xml:space="preserve">FITTING  - VITON®  ORS MALE x VITON®  ORS MALE X ORS FEMALE- TEE with 1/4" NPT </t>
  </si>
  <si>
    <t>20527-00</t>
  </si>
  <si>
    <t>TEE ASSY- ORS, F x F x M</t>
  </si>
  <si>
    <t>20527-01</t>
  </si>
  <si>
    <t>TEE BODY- ORS, F x F x M</t>
  </si>
  <si>
    <t>20527-V0</t>
  </si>
  <si>
    <t>TEE ASSY- ORS, F x F x M, VITON</t>
  </si>
  <si>
    <t>FITTING  - ORS x 5/16" PUSH-IN TUBE - 90°</t>
  </si>
  <si>
    <t>20528-V0</t>
  </si>
  <si>
    <t>FITTING  - VITON®  ORS x 5/16" PUSH-IN TUBE - 90°</t>
  </si>
  <si>
    <t>20529-00</t>
  </si>
  <si>
    <t>PLUG ASSY - ORS</t>
  </si>
  <si>
    <t>20529-01</t>
  </si>
  <si>
    <t>PLUG BODY - ORS</t>
  </si>
  <si>
    <t>20529-V0</t>
  </si>
  <si>
    <t xml:space="preserve">PLUG ASSY - ORS, VITON® </t>
  </si>
  <si>
    <t>20530-00</t>
  </si>
  <si>
    <t>FITTING  - ORS FEMALE x 1/4" NPT MALE</t>
  </si>
  <si>
    <t>20530-01</t>
  </si>
  <si>
    <t>FITTING BODY - ORS FEMALE x 1/4" NPT MALE</t>
  </si>
  <si>
    <t>20535-00</t>
  </si>
  <si>
    <t>FITTING  - ORS FEMALE x 1/4" NPT FEMALE</t>
  </si>
  <si>
    <t>20535-01</t>
  </si>
  <si>
    <t>FITTING BODY - ORS FEMALE x 1/4" NPT FEMALE</t>
  </si>
  <si>
    <t>20536-00</t>
  </si>
  <si>
    <t>FITTING  - ORS FEMALE x 3/8" NPT FEMALE</t>
  </si>
  <si>
    <t>20536-01</t>
  </si>
  <si>
    <t>FITTING BODY - ORS FEMALE x 3/8" NPT FEMALE</t>
  </si>
  <si>
    <t>20537-00</t>
  </si>
  <si>
    <t>FITTING  - ORS FEMALE x 1/2" NPT FEMALE</t>
  </si>
  <si>
    <t>20537-01</t>
  </si>
  <si>
    <t>FITTING BODY - ORS FEMALE x 1/2" NPT FEMALE</t>
  </si>
  <si>
    <t>20540-00</t>
  </si>
  <si>
    <t>FITTING  - ORS FEMALE x 1/4" PUSH-IN TUBE - STRAIGHT</t>
  </si>
  <si>
    <t>20540-01</t>
  </si>
  <si>
    <t>FITTING BODY - ORS FEMALE x 1/4" PUSH-IN TUBE - STRAIGHT</t>
  </si>
  <si>
    <t>20541-00</t>
  </si>
  <si>
    <t>FITTING  - ORS FEMALE x 5/16" PUSH-IN TUBE - STRAIGHT</t>
  </si>
  <si>
    <t>20541-01</t>
  </si>
  <si>
    <t>FITTING BODY - ORS FEMALE x 5/16" PUSH-IN TUBE - STRAIGHT</t>
  </si>
  <si>
    <t>20542-00</t>
  </si>
  <si>
    <t>FITTING  - ORS FEMALE x 3/8" PUSH-IN TUBE - STRAIGHT</t>
  </si>
  <si>
    <t>20542-01</t>
  </si>
  <si>
    <t>FITTING BODY - ORS FEMALE x 3/8" PUSH-IN TUBE - STRAIGHT</t>
  </si>
  <si>
    <t>FITTING  - ORS x SQUARE LUG</t>
  </si>
  <si>
    <t>20549-01</t>
  </si>
  <si>
    <t>FITTING BODY - ORS x SQUARE LUG</t>
  </si>
  <si>
    <t>20549-V0</t>
  </si>
  <si>
    <t>FITTING  - VITON®  ORS x SQUARE LUG</t>
  </si>
  <si>
    <t>20550-00</t>
  </si>
  <si>
    <t>DIAPHRAGM CHECK VALVE ASSY- ORS MALE x ORS FEMALE, 90</t>
  </si>
  <si>
    <t>20550-01</t>
  </si>
  <si>
    <t>CHECK VALVE BODY - ORS MALE x ORS FEMALE, 90</t>
  </si>
  <si>
    <t>20550-V0</t>
  </si>
  <si>
    <t xml:space="preserve">DIAPHRAGM CHECK VALVE ASSY- ORS MALE x ORS FEMALE, 90,VITON® </t>
  </si>
  <si>
    <t>20551-00</t>
  </si>
  <si>
    <t>MANUAL ON/OFF CHECK VALVE ASSY- ORS MALE x ORS FEMALE, 90</t>
  </si>
  <si>
    <t>20551-V0</t>
  </si>
  <si>
    <t xml:space="preserve">MANUAL ON/OFF CHECK VALVE ASSY- ORS MALE x ORS FEMALE, 90, VITON® </t>
  </si>
  <si>
    <t>20552-00</t>
  </si>
  <si>
    <t>AIR-OFF CHECK VALVE ASSY- ORS MALE x ORS FEMALE, 90</t>
  </si>
  <si>
    <t>20552-V0</t>
  </si>
  <si>
    <t xml:space="preserve">AIR-OFF CHECK VALVE ASSY- ORS MALE x ORS FEMALE, 90, VITON® </t>
  </si>
  <si>
    <t>20553-00</t>
  </si>
  <si>
    <t>OPTIONAL CONTROL VALVE ASSY- ORS MALE x ORS FEMALE, 90</t>
  </si>
  <si>
    <t>20553-V0</t>
  </si>
  <si>
    <t xml:space="preserve">OPTIONAL CONTROL VALVE ASSY- ORS MALE x ORS FEMALE, 90, VITON® </t>
  </si>
  <si>
    <t>20555-00</t>
  </si>
  <si>
    <t>DIAPHRAGM CHECK VALVE ASSY- ORS MALE x ORS FEMALE, STRAIGHT</t>
  </si>
  <si>
    <t>20555-01</t>
  </si>
  <si>
    <t>CHECK VALVE BODY - ORS MALE x ORS FEMALE, STRAIGHT</t>
  </si>
  <si>
    <t>20555-V0</t>
  </si>
  <si>
    <t xml:space="preserve">DIAPHRAGM CHECK VALVE ASSY- ORS MALE x ORS FEMALE, STRAIGHT,VITON® </t>
  </si>
  <si>
    <t>20556-00</t>
  </si>
  <si>
    <t>MANUAL ON/OFF CHECK VALVE ASSY- ORS MALE x ORS FEMALE, STRAIGHT</t>
  </si>
  <si>
    <t>20556-V0</t>
  </si>
  <si>
    <t xml:space="preserve">MANUAL ON/OFF CHECK VALVE ASSY- ORS MALE x ORS FEMALE, STRAIGHT, VITON® </t>
  </si>
  <si>
    <t>20557-00</t>
  </si>
  <si>
    <t>AIR-OFF CHECK VALVE ASSY- ORS MALE x ORS FEMALE, STRAIGHT</t>
  </si>
  <si>
    <t>20557-V0</t>
  </si>
  <si>
    <t xml:space="preserve">AIR-OFF CHECK VALVE ASSY- ORS MALE x ORS FEMALE,, STRAIGHT VITON® </t>
  </si>
  <si>
    <t>20558-00</t>
  </si>
  <si>
    <t>OPTIONAL CONTROL VALVE ASSY- ORS MALE x ORS FEMALE, STRAIGHT</t>
  </si>
  <si>
    <t>20558-V0</t>
  </si>
  <si>
    <t xml:space="preserve">OPTIONAL CONTROL VALVE ASSY- ORS MALE x ORS FEMALE,, STRAIGHT VITON® </t>
  </si>
  <si>
    <t>20560-00</t>
  </si>
  <si>
    <t>DIAPHRAGM CHECK VALVE ASSY - ORS MALE x RADIALOCK MALE</t>
  </si>
  <si>
    <t>20560-01</t>
  </si>
  <si>
    <t>CHECK VALVE BODY - ORS MALE x RADIALOCK MALE</t>
  </si>
  <si>
    <t>20560-P4</t>
  </si>
  <si>
    <t>DIAPHRAGM CHECK VALVE ASSY - ORS MALE x RADIALOCK MALE, 4PSI CHECK VALVE</t>
  </si>
  <si>
    <t>20560-V0</t>
  </si>
  <si>
    <t xml:space="preserve">DIAPHRAGM CHECK VALVE ASSY - ORS MALE x RADIALOCK MALE, VITON® </t>
  </si>
  <si>
    <t>20561-00</t>
  </si>
  <si>
    <t>MANUAL ON/OFF CHECK VALVE ASSY- ORS MALE x RADIALOCK MALE</t>
  </si>
  <si>
    <t>20561-V0</t>
  </si>
  <si>
    <t xml:space="preserve">MANUAL ON/OFF CHECK VALVE ASSY- ORS MALE x RADIALOCK MALE, VITON® </t>
  </si>
  <si>
    <t>20562-00</t>
  </si>
  <si>
    <t>AIR-OFF CHECK VALVE ASSY- ORS MALE x RADIALOCK MALE</t>
  </si>
  <si>
    <t>20562-V0</t>
  </si>
  <si>
    <t xml:space="preserve">AIR-OFF CHECK VALVE ASSY- ORS MALE x RADIALOCK MALE, VITON® </t>
  </si>
  <si>
    <t>20563-00</t>
  </si>
  <si>
    <t>OPTIONAL CONTROL VALVE ASSY- ORS MALE x RADIALOCK MALE</t>
  </si>
  <si>
    <t>20563-V0</t>
  </si>
  <si>
    <t xml:space="preserve">OPTIONAL CONTROL VALVE ASSY- ORS MALE x RADIALOCK MALE, VITON® </t>
  </si>
  <si>
    <t>20571-00</t>
  </si>
  <si>
    <t>INLINE MANIFOLD ASSY- ORS, ONE OUTLET</t>
  </si>
  <si>
    <t>20571-01</t>
  </si>
  <si>
    <t>INLINE MANIFOLD BODY- ORS, ONE OUTLET</t>
  </si>
  <si>
    <t>20571-V0</t>
  </si>
  <si>
    <t>INLINE MANIFOLD ASSY- ORS, ONE OUTLET, VITON</t>
  </si>
  <si>
    <t>20572-00</t>
  </si>
  <si>
    <t>INLINE MANIFOLD ASSY- ORS, TWO OUTLET</t>
  </si>
  <si>
    <t>20572-01</t>
  </si>
  <si>
    <t>INLINE MANIFOLD BODY- ORS, TWO OUTLET</t>
  </si>
  <si>
    <t>20572-V0</t>
  </si>
  <si>
    <t>INLINE MANIFOLD ASSY- ORS, TWO OUTLET, VITON</t>
  </si>
  <si>
    <t>20573-00</t>
  </si>
  <si>
    <t>INLINE MANIFOLD ASSY- ORS, THREE OUTLET</t>
  </si>
  <si>
    <t>20573-01</t>
  </si>
  <si>
    <t>INLINE MANIFOLD BODY- ORS, THREE OUTLET</t>
  </si>
  <si>
    <t>20573-V0</t>
  </si>
  <si>
    <t>INLINE MANIFOLD ASSY- ORS, THREE OUTLET, VITON</t>
  </si>
  <si>
    <t>20574-00</t>
  </si>
  <si>
    <t>INLINE MANIFOLD ASSY - ORS, FOUR OUTLET</t>
  </si>
  <si>
    <t>20574-01</t>
  </si>
  <si>
    <t>INLINE MANIFOLD BODY - ORS, FOUR OUTLET</t>
  </si>
  <si>
    <t>20574-V0</t>
  </si>
  <si>
    <t xml:space="preserve">INLINE MANIFOLD ASSY - ORS, FOUR OUTLET, VITON® </t>
  </si>
  <si>
    <t>20576-00</t>
  </si>
  <si>
    <t>INLINE STRAINER ASSY - 50 MESH, ORS INLET/OUTLET</t>
  </si>
  <si>
    <t>20576-01</t>
  </si>
  <si>
    <t>INLINE STRAINER BODY, ORS INLET/OUTLET</t>
  </si>
  <si>
    <t>20576-02</t>
  </si>
  <si>
    <t>INLINE STRAINER CARTRIDGE ASSY - 50 MESH</t>
  </si>
  <si>
    <t>20576-03</t>
  </si>
  <si>
    <t>INLINE STRAINER CARTRIDGE - 50 MESH</t>
  </si>
  <si>
    <t>20576-V0</t>
  </si>
  <si>
    <t>INLINE STRAINER ASSY - 50 MESH, ORS INLET/OUTLET,VITON</t>
  </si>
  <si>
    <t>20576-V4</t>
  </si>
  <si>
    <t>O-RING -VITON -#118</t>
  </si>
  <si>
    <t>20580-01</t>
  </si>
  <si>
    <t>EFI BODY</t>
  </si>
  <si>
    <t>20580-02</t>
  </si>
  <si>
    <t>EFI TOP ASSY/ELECTONIC MODULE with O-RING</t>
  </si>
  <si>
    <t>20580-03</t>
  </si>
  <si>
    <t>EFI TOP COMPONENT</t>
  </si>
  <si>
    <t>20580-05</t>
  </si>
  <si>
    <t>CORD BUSHING - 1/8" NPSF</t>
  </si>
  <si>
    <t>20580-06</t>
  </si>
  <si>
    <t>EFI ASSY - ORS MALE/FEMALE, VITON</t>
  </si>
  <si>
    <t>20580-08</t>
  </si>
  <si>
    <t>FLOW INDICATOR IMPELLER ASSY</t>
  </si>
  <si>
    <t>20580-09</t>
  </si>
  <si>
    <t xml:space="preserve">FLOW INDICATOR IMPELLER </t>
  </si>
  <si>
    <t>20580-10</t>
  </si>
  <si>
    <t>IMPELLER MAGNET</t>
  </si>
  <si>
    <t>20580-11</t>
  </si>
  <si>
    <t>FLOW INDICATOR AXLE PIN</t>
  </si>
  <si>
    <t>20580-12</t>
  </si>
  <si>
    <t>O-RING - FKM, #119</t>
  </si>
  <si>
    <t>20580-13</t>
  </si>
  <si>
    <t>O-RING - VITON, #119</t>
  </si>
  <si>
    <t>20581-01</t>
  </si>
  <si>
    <t>EFI JET, GREEN, 0.035" DIA.</t>
  </si>
  <si>
    <t>20581-03</t>
  </si>
  <si>
    <t>EFI JET, RED, 0.057" DIA.</t>
  </si>
  <si>
    <t>20581-05</t>
  </si>
  <si>
    <t>EFI JET, BLUE, 0.120" DIA.</t>
  </si>
  <si>
    <t>20581-07</t>
  </si>
  <si>
    <t>EFI JET, BLACK, 0.200" DIA.</t>
  </si>
  <si>
    <t>20631-00</t>
  </si>
  <si>
    <t>EFM MANIFOLD, 1 OUTLET, 90</t>
  </si>
  <si>
    <t>20631-P4</t>
  </si>
  <si>
    <t>EFM MANIFOLD, 1 OUTLET, 90, 4 PSI</t>
  </si>
  <si>
    <t>20632-00</t>
  </si>
  <si>
    <t>EFM MANIFOLD, 2 OUTLETS, 90</t>
  </si>
  <si>
    <t>20632-P4</t>
  </si>
  <si>
    <t>EFM MANIFOLD, 2 OUTLETS, 90, 4 PSI</t>
  </si>
  <si>
    <t>20633-00</t>
  </si>
  <si>
    <t>EFM MANIFOLD, 3 OUTLETS, 90</t>
  </si>
  <si>
    <t>20633-P4</t>
  </si>
  <si>
    <t>EFM MANIFOLD, 3 OUTLETS, 90, 4 PSI</t>
  </si>
  <si>
    <t>20634-00</t>
  </si>
  <si>
    <t>EFM MANIFOLD, 4 OUTLETS, 90</t>
  </si>
  <si>
    <t>20634-P4</t>
  </si>
  <si>
    <t>EFM MANIFOLD, 4 OUTLETS, 90, 4 PSI</t>
  </si>
  <si>
    <t>EFM MANIFOLD, 1 OUTLET, STRAIGHT</t>
  </si>
  <si>
    <t>20641-P4</t>
  </si>
  <si>
    <t>EFM MANIFOLD, 1 OUTLET, STRAIGHT, 4 PSI</t>
  </si>
  <si>
    <t>EFM MANIFOLD, 2 OUTLETS, STRAIGHT</t>
  </si>
  <si>
    <t>20642-P4</t>
  </si>
  <si>
    <t>EFM MANIFOLD, 2 OUTLETS, STRAIGHT, 4 PSI</t>
  </si>
  <si>
    <t>EFM MANIFOLD, 3 OUTLETS, STRAIGHT</t>
  </si>
  <si>
    <t>20643-P4</t>
  </si>
  <si>
    <t>EFM MANIFOLD, 3 OUTLETS, STRAIGHT, 4 PSI</t>
  </si>
  <si>
    <t>EFM MANIFOLD, 4 OUTLETS, STRAIGHT</t>
  </si>
  <si>
    <t>20644-P4</t>
  </si>
  <si>
    <t>EFM MANIFOLD, 4 OUTLETS, STRAIGHT, 4 PSI</t>
  </si>
  <si>
    <t>21000-00</t>
  </si>
  <si>
    <t>21000-01</t>
  </si>
  <si>
    <t>ORIFICE INSERT- BLANK</t>
  </si>
  <si>
    <t>21000-V0</t>
  </si>
  <si>
    <t>ORIFICE INSERT -BLANK with VITON®  SEAL</t>
  </si>
  <si>
    <t>21015-00</t>
  </si>
  <si>
    <t>ORIFICE INSERT ASSY-0.015" DIA. ORIFICE with SEAL</t>
  </si>
  <si>
    <t>21015-01</t>
  </si>
  <si>
    <t xml:space="preserve">ORIFICE INSERT -0.015" DIA. ORIFICE </t>
  </si>
  <si>
    <t>21015-V0</t>
  </si>
  <si>
    <t>ORIFICE INSERT ASSY-0.015" DIA. ORIFICE with VITON®  SEAL</t>
  </si>
  <si>
    <t>21025-00</t>
  </si>
  <si>
    <t>ORIFICE INSERT ASSY-0.025" DIA. ORIFICE with SEAL</t>
  </si>
  <si>
    <t>21025-01</t>
  </si>
  <si>
    <t xml:space="preserve">ORIFICE INSERT -0.025" DIA. ORIFICE </t>
  </si>
  <si>
    <t>21025-V0</t>
  </si>
  <si>
    <t>ORIFICE INSERT ASSY-0.025" DIA. ORIFICE with VITON®  SEAL</t>
  </si>
  <si>
    <t>21031-00</t>
  </si>
  <si>
    <t>ORIFICE INSERT ASSY-0.031" DIA. ORIFICE with SEAL</t>
  </si>
  <si>
    <t>21031-01</t>
  </si>
  <si>
    <t xml:space="preserve">ORIFICE INSERT -0.031" DIA. ORIFICE </t>
  </si>
  <si>
    <t>21031-V0</t>
  </si>
  <si>
    <t>ORIFICE INSERT ASSY-0.031" DIA. ORIFICE with VITON®  SEAL</t>
  </si>
  <si>
    <t>21035-00</t>
  </si>
  <si>
    <t>ORIFICE INSERT ASSY-0.035" DIA. ORIFICE with SEAL</t>
  </si>
  <si>
    <t>21035-01</t>
  </si>
  <si>
    <t xml:space="preserve">ORIFICE INSERT -0.035" DIA. ORIFICE </t>
  </si>
  <si>
    <t>21035-V0</t>
  </si>
  <si>
    <t>ORIFICE INSERT ASSY-0.035" DIA. ORIFICE with VITON®  SEAL</t>
  </si>
  <si>
    <t>21040-00</t>
  </si>
  <si>
    <t>ORIFICE INSERT ASSY-0.040" DIA. ORIFICE with SEAL</t>
  </si>
  <si>
    <t>21040-01</t>
  </si>
  <si>
    <t xml:space="preserve">ORIFICE INSERT -0.040" DIA. ORIFICE </t>
  </si>
  <si>
    <t>21040-V0</t>
  </si>
  <si>
    <t>ORIFICE INSERT ASSY-0.040" DIA. ORIFICE with VITON®  SEAL</t>
  </si>
  <si>
    <t>21043-00</t>
  </si>
  <si>
    <t>ORIFICE INSERT ASSY-0.043" DIA. ORIFICE with SEAL</t>
  </si>
  <si>
    <t>21043-01</t>
  </si>
  <si>
    <t xml:space="preserve">ORIFICE INSERT -0.043" DIA. ORIFICE </t>
  </si>
  <si>
    <t>21043-V0</t>
  </si>
  <si>
    <t>ORIFICE INSERT ASSY-0.043" DIA. ORIFICE with VITON®  SEAL</t>
  </si>
  <si>
    <t>21049-00</t>
  </si>
  <si>
    <t>ORIFICE INSERT ASSY-0.049" DIA. ORIFICE with SEAL</t>
  </si>
  <si>
    <t>21049-01</t>
  </si>
  <si>
    <t xml:space="preserve">ORIFICE INSERT -0.049" DIA. ORIFICE </t>
  </si>
  <si>
    <t>21049-V0</t>
  </si>
  <si>
    <t>ORIFICE INSERT ASSY-0.049" DIA. ORIFICE with VITON®  SEAL</t>
  </si>
  <si>
    <t>21050-00</t>
  </si>
  <si>
    <t>ORIFICE INSERT ASSY-0.050" DIA. ORIFICE with SEAL</t>
  </si>
  <si>
    <t>21050-01</t>
  </si>
  <si>
    <t xml:space="preserve">ORIFICE INSERT -0.050" DIA. ORIFICE </t>
  </si>
  <si>
    <t>21050-V0</t>
  </si>
  <si>
    <t>ORIFICE INSERT ASSY-0.050" DIA. ORIFICE with VITON®  SEAL</t>
  </si>
  <si>
    <t>21055-00</t>
  </si>
  <si>
    <t>ORIFICE INSERT ASSY-0.055" DIA. ORIFICE with SEAL</t>
  </si>
  <si>
    <t>21055-01</t>
  </si>
  <si>
    <t>ORIFICE INSERT -0.055" DIA. ORIFICE</t>
  </si>
  <si>
    <t>21055-V0</t>
  </si>
  <si>
    <t>ORIFICE INSERT ASSY-0.055" DIA. ORIFICE with VITON®  SEAL</t>
  </si>
  <si>
    <t>21070-00</t>
  </si>
  <si>
    <t>21070-01</t>
  </si>
  <si>
    <t>21070-V0</t>
  </si>
  <si>
    <t>21104-00</t>
  </si>
  <si>
    <t>ORIFICE INSERT ASSY-0.104" DIA. ORIFICE with SEAL</t>
  </si>
  <si>
    <t>21104-01</t>
  </si>
  <si>
    <t>ORIFICE INSERT-0.104" DIA. ORIFICE</t>
  </si>
  <si>
    <t>21104-V0</t>
  </si>
  <si>
    <t>ORIFICE INSERT ASSY-0.104" DIA. ORIFICE with VITON®  SEAL</t>
  </si>
  <si>
    <t>21250-00</t>
  </si>
  <si>
    <t>ORIFICE INSERT ASSY-0.250" DIA. ORIFICE with SEAL</t>
  </si>
  <si>
    <t>21250-01</t>
  </si>
  <si>
    <t>ORIFICE INSERT-0.250" DIA. ORIFICE</t>
  </si>
  <si>
    <t>21500-003</t>
  </si>
  <si>
    <t>BDY,ORS ORIFICE,R003,NAT</t>
  </si>
  <si>
    <t>21500-005</t>
  </si>
  <si>
    <t>BDY,ORS ORIFICE,R005,BLK</t>
  </si>
  <si>
    <t>21500-007</t>
  </si>
  <si>
    <t>BDY,ORS ORIFICE,R0067,PNK</t>
  </si>
  <si>
    <t>21500-01</t>
  </si>
  <si>
    <t>BDY,ORS ORIFICE,R01,ORG</t>
  </si>
  <si>
    <t>21500-015</t>
  </si>
  <si>
    <t>BDY,ORS ORIFICE,R015,GRN</t>
  </si>
  <si>
    <t>21500-02</t>
  </si>
  <si>
    <t>BDY,ORS ORIFICE,R02,YEL</t>
  </si>
  <si>
    <t>21500-025</t>
  </si>
  <si>
    <t>BDY,ORS ORIFICE,R025,PUR</t>
  </si>
  <si>
    <t>21500-03</t>
  </si>
  <si>
    <t>BDY,ORS ORIFICE,R03,BLU</t>
  </si>
  <si>
    <t>21500-04</t>
  </si>
  <si>
    <t>BDY,ORS ORIFICE,R04,RED</t>
  </si>
  <si>
    <t>21500-05</t>
  </si>
  <si>
    <t>BDY,ORS ORIFICE,R05,BRN</t>
  </si>
  <si>
    <t>21500-06</t>
  </si>
  <si>
    <t>BDY,ORS ORIFICE,R06,GRY</t>
  </si>
  <si>
    <t>21500-08</t>
  </si>
  <si>
    <t>BDY,ORS ORIFICE,R08,WHT</t>
  </si>
  <si>
    <t>21500-10</t>
  </si>
  <si>
    <t>BDY,ORS ORIFICE,R10,LT BLU</t>
  </si>
  <si>
    <t>21500-125</t>
  </si>
  <si>
    <t>BDY,ORS ORIFICE,R12.5,TL</t>
  </si>
  <si>
    <t>21500-15</t>
  </si>
  <si>
    <t>BDY,ORS ORIFICE,R15,LT GRN</t>
  </si>
  <si>
    <t>21500-20</t>
  </si>
  <si>
    <t>BDY,ORS ORIFICE,R20,TAN</t>
  </si>
  <si>
    <t>21500-V003</t>
  </si>
  <si>
    <t>ORS ORIFICE ASSY,R003,NAT,FKM</t>
  </si>
  <si>
    <t>21500-V005</t>
  </si>
  <si>
    <t>ORS ORIFICE ASSY,R005,BLK,FKM</t>
  </si>
  <si>
    <t>21500-V007</t>
  </si>
  <si>
    <t>ORS ORIFICE ASSY,R0067,PNK,FKM</t>
  </si>
  <si>
    <t>21500-V01</t>
  </si>
  <si>
    <t>ORS ORIFICE ASSY,R01,ORG,FKM</t>
  </si>
  <si>
    <t>21500-V015</t>
  </si>
  <si>
    <t>ORS ORIFICE ASSY,R015,GRN,FKM</t>
  </si>
  <si>
    <t>21500-V02</t>
  </si>
  <si>
    <t>ORS ORIFICE ASSY,R02,YEL,FKM</t>
  </si>
  <si>
    <t>21500-V025</t>
  </si>
  <si>
    <t>ORS ORIFICE ASSY,R025,PUR,FKM</t>
  </si>
  <si>
    <t>21500-V03</t>
  </si>
  <si>
    <t>ORS ORIFICE ASSY,R03,BLU,FKM</t>
  </si>
  <si>
    <t>21500-V04</t>
  </si>
  <si>
    <t>ORS ORIFICE ASSY,R04,RED,FKM</t>
  </si>
  <si>
    <t>21500-V05</t>
  </si>
  <si>
    <t>ORS ORIFICE ASSY,R05,BRN,FKM</t>
  </si>
  <si>
    <t>21500-V06</t>
  </si>
  <si>
    <t>ORS ORIFICE ASSY,R06,GRY,FKM</t>
  </si>
  <si>
    <t>21500-V08</t>
  </si>
  <si>
    <t>ORS ORIFICE ASSY,R08,WHT,FKM</t>
  </si>
  <si>
    <t>21500-V10</t>
  </si>
  <si>
    <t>ORS ORIFICE ASSY,R10,LT BLU,FKM</t>
  </si>
  <si>
    <t>21500-V125</t>
  </si>
  <si>
    <t>ORS ORIFICE ASSY,R12.5,TL,FKM</t>
  </si>
  <si>
    <t>21500-V15</t>
  </si>
  <si>
    <t>ORS ORIFICE ASSY,R15,LT GRN,FKM</t>
  </si>
  <si>
    <t>21500-V20</t>
  </si>
  <si>
    <t>ORS ORIFICE ASSY,R20,TAN,FKM</t>
  </si>
  <si>
    <t>21XXX-00</t>
  </si>
  <si>
    <t>ORIFICE INSERT ASSY WITH HOLE -with BUNA N SEAL</t>
  </si>
  <si>
    <t>21XXX-V0</t>
  </si>
  <si>
    <t>ORIFICE INSERT ASSY WITH HOLE -with VITON®  SEAL</t>
  </si>
  <si>
    <t>22021-00</t>
  </si>
  <si>
    <t>FITTING ASSY-HOSE DROP 16" - NYLON -1/4" NPT M x 1/4" NPT M</t>
  </si>
  <si>
    <t>22025-00</t>
  </si>
  <si>
    <t>FITTING ASSY-HOSE DROP 18" - NYLON -1/4" NPT F x 1/4" NPT M</t>
  </si>
  <si>
    <t>22026-00</t>
  </si>
  <si>
    <t>FITTING ASSY-HOSE DROP 16" - NYLON - RADIALOCK CAP x 1/4" NPTM</t>
  </si>
  <si>
    <t>22031-00</t>
  </si>
  <si>
    <t>FITTING ASSY-HOSE DROP 24" - NYLON -1/4" NPT M x 1/4" NPT M</t>
  </si>
  <si>
    <t>22035-00</t>
  </si>
  <si>
    <t>FITTING ASSY-HOSE DROP 24" - NYLON -1/4" NPT M x 1/4" NPT F</t>
  </si>
  <si>
    <t>22036-00</t>
  </si>
  <si>
    <t>FITTING ASSY-HOSE DROP 24" - NYLON -RADIALOCK CAP x 1/4" NPTM</t>
  </si>
  <si>
    <t>22037-00</t>
  </si>
  <si>
    <t>FITTING ASSY-HOSE DROP 36" - NYLON -1/4" NPT M x 1/4" NPT M</t>
  </si>
  <si>
    <t>22038-00</t>
  </si>
  <si>
    <t>FITTING ASSY-HOSE DROP 36" - NYLON -RADIALOCK CAP x 1/4" NPTM</t>
  </si>
  <si>
    <t>22047-00</t>
  </si>
  <si>
    <t>FITTING ASSY-HOSE DROP 48" - NYLON -1/4" NPT M x 1/4" NPT M</t>
  </si>
  <si>
    <t>22048-00</t>
  </si>
  <si>
    <t>FITTING ASSY-HOSE DROP 48" - NYLON -RADIALOCK CAP x 1/4" NPTM</t>
  </si>
  <si>
    <t>23021-00</t>
  </si>
  <si>
    <t>FITTING-HOSE SHANK - PP -1/4" NPT M x 3/8" HB</t>
  </si>
  <si>
    <t>23022-00</t>
  </si>
  <si>
    <t>FITTING-HOSE SHANK - PP -1/4" NPT M x 1/2" HB</t>
  </si>
  <si>
    <t>23025-00</t>
  </si>
  <si>
    <t>FITTING-HOSE SHANK - PP -1/4" NPT FE x 3/8" HB</t>
  </si>
  <si>
    <t>23032-00</t>
  </si>
  <si>
    <t>FITTING-HOSE SHANK - PP -3/8" NPT M x 3/8" HB</t>
  </si>
  <si>
    <t>23033-00</t>
  </si>
  <si>
    <t>FITTING-HOSE SHANK - PP -3/8" NPT M x 1/2" HB</t>
  </si>
  <si>
    <t>23040-00</t>
  </si>
  <si>
    <t>FITTING-TEE - PP -1/4" NPT M x 1/2" HB x 1/2" HB</t>
  </si>
  <si>
    <t>23051-00</t>
  </si>
  <si>
    <t>FITTING - PIPE PLUG - PP - 1/8" NPT</t>
  </si>
  <si>
    <t>23052-00</t>
  </si>
  <si>
    <t>FITTING - PIPE PLUG - PP - 1/4" NPT</t>
  </si>
  <si>
    <t>23060-00</t>
  </si>
  <si>
    <t>FITTING - 3/8" x CLOSE NIPPLE</t>
  </si>
  <si>
    <t>25120-01</t>
  </si>
  <si>
    <t xml:space="preserve">QN HOSE SHANK - 1/2" SST x 1/2" STRAIGHT </t>
  </si>
  <si>
    <t>25120-02</t>
  </si>
  <si>
    <t>25120-03</t>
  </si>
  <si>
    <t xml:space="preserve">QUICK-NUT - 1/2" SST </t>
  </si>
  <si>
    <t>25120-V2</t>
  </si>
  <si>
    <t>O-RING,  VITON #116</t>
  </si>
  <si>
    <t>25121-01</t>
  </si>
  <si>
    <t>QN HOSE SHANK - 1/2" SST x 3/4" STRAIGHT SHANK</t>
  </si>
  <si>
    <t>25122-01</t>
  </si>
  <si>
    <t>QN HOSE SHANK - 1/2" SST x 1/2" SWEEP 90°</t>
  </si>
  <si>
    <t>25123-01</t>
  </si>
  <si>
    <t>QN HOSE SHANK - 1/2" SST x 3/4" SWEEP 90°</t>
  </si>
  <si>
    <t>25124-01</t>
  </si>
  <si>
    <t>QN HOSE SHANK - 1/2" SST x 1/2" SWEEP 45°</t>
  </si>
  <si>
    <t>25125-01</t>
  </si>
  <si>
    <t>QN HOSE SHANK - 1/2" SST x 3/4" SWEEP 45°</t>
  </si>
  <si>
    <t>25126-01</t>
  </si>
  <si>
    <t>QN 1/2" SIGHT BULB</t>
  </si>
  <si>
    <t>25127-01</t>
  </si>
  <si>
    <t>QN 1/2" SST x 1/4" NPT FE ADAPTER</t>
  </si>
  <si>
    <t>25128-00</t>
  </si>
  <si>
    <t>QN SWEEP TEE - 1/2" SST x 1/2" SST x 1/2" SST</t>
  </si>
  <si>
    <t>25129-00</t>
  </si>
  <si>
    <t>QN FEMALE BOOM END ADAPTER ASSY - 0.840" TUBE x 1/2" SST FE</t>
  </si>
  <si>
    <t>25129-01</t>
  </si>
  <si>
    <t xml:space="preserve">QN FEMALE BOOM END ADAPTER NUT - 0.840" TUBE x 1/2" SST </t>
  </si>
  <si>
    <t>25129-02</t>
  </si>
  <si>
    <t>ADAPTER SLEEVE - 0.840" TUBE x 1/2" SST</t>
  </si>
  <si>
    <t>25130-00</t>
  </si>
  <si>
    <t xml:space="preserve">QN MALE BOOM END ADAPTER - 0.840" TUBE x 1/2 SST </t>
  </si>
  <si>
    <t>25131-01</t>
  </si>
  <si>
    <t>QN 1/2" SST - PLUG</t>
  </si>
  <si>
    <t>25137-00</t>
  </si>
  <si>
    <t>ADAPTER - QN BOOM END FLUSH VALVE TO 1" NPTF</t>
  </si>
  <si>
    <t>25137-V0</t>
  </si>
  <si>
    <t>ADAPTER KIT - QN TO 1" NPTF ADAPTER W/ VITON®  O-RING</t>
  </si>
  <si>
    <t>25160-01</t>
  </si>
  <si>
    <t>QN HOSE SHANK - 1" SST x 1 1/4" STRAIGHT SHANK</t>
  </si>
  <si>
    <t>25160-02</t>
  </si>
  <si>
    <t>25160-03</t>
  </si>
  <si>
    <t>QUICK-NUT - 1" SST</t>
  </si>
  <si>
    <t>25160-04</t>
  </si>
  <si>
    <t>SQUARE-RING, BUNA N  #219</t>
  </si>
  <si>
    <t>25160-V2</t>
  </si>
  <si>
    <t>25160-V4</t>
  </si>
  <si>
    <t>SQUARE-RING, VITON®   #219</t>
  </si>
  <si>
    <t>25161-01</t>
  </si>
  <si>
    <t>QN HOSE SHANK - 1" SST x 1 1/4" SWEEP 90°</t>
  </si>
  <si>
    <t>25162-01</t>
  </si>
  <si>
    <t>QN HOSE SHANK - 1" SST x 1 1/4" SWEEP SWEEP 45°</t>
  </si>
  <si>
    <t>25163-01</t>
  </si>
  <si>
    <t>QN 1" SST - PLUG</t>
  </si>
  <si>
    <t>25164-01</t>
  </si>
  <si>
    <t>QN 1" SST x 3/4" NPT FE ADAPTER</t>
  </si>
  <si>
    <t>25165-01</t>
  </si>
  <si>
    <t>QN 1" SST SIGHT BULB PLUG, CLEAR</t>
  </si>
  <si>
    <t>25166-01</t>
  </si>
  <si>
    <t>QN HOSE SHANK - 1" SST x 1" STRAIGHT SHANK</t>
  </si>
  <si>
    <t>25167-01</t>
  </si>
  <si>
    <t>QN HOSE SHANK - 1" SST x 1" - SWEEP 90°</t>
  </si>
  <si>
    <t>25168-00</t>
  </si>
  <si>
    <t>QN SWEEP TEE - 1" HOSE SHANK x 1" SST x 1" SST</t>
  </si>
  <si>
    <t>25169-00</t>
  </si>
  <si>
    <t>QN SWEEP TEE - 1 1/4" HOSE SHANK x 1" SST x 1" SST</t>
  </si>
  <si>
    <t>25170-00</t>
  </si>
  <si>
    <t>QN FEMALE BOOM END ADAPTER ASSY - 1.315" TUBE x 1" SST</t>
  </si>
  <si>
    <t>25170-01</t>
  </si>
  <si>
    <t>FEMALE BOOM END ADAPTER NUT - 1.315" TUBE x 1" SST</t>
  </si>
  <si>
    <t>25170-02</t>
  </si>
  <si>
    <t>ADAPTER SLEEVE - 1.315" TUBE x 1" SST</t>
  </si>
  <si>
    <t>25171-00</t>
  </si>
  <si>
    <t>QN MALE BOOM END ADAPTER - 1.315" TUBE x 1" SST</t>
  </si>
  <si>
    <t>25172-00</t>
  </si>
  <si>
    <t>25175-01</t>
  </si>
  <si>
    <t>QN BOOM FLUSH VALVE  BODY- 1 1/4" FEMALE</t>
  </si>
  <si>
    <t>25175-02</t>
  </si>
  <si>
    <t>FLUSH VALVE CORE - 1 1/4"</t>
  </si>
  <si>
    <t>25175-03</t>
  </si>
  <si>
    <t>FLUSH VALVE HANDLE - 1 1/4"</t>
  </si>
  <si>
    <t>25175-04</t>
  </si>
  <si>
    <t xml:space="preserve">TEFLON WASHER </t>
  </si>
  <si>
    <t>25175-05</t>
  </si>
  <si>
    <t>SCREW - #6 x 3/4"</t>
  </si>
  <si>
    <t>25175-08</t>
  </si>
  <si>
    <t>25175-09</t>
  </si>
  <si>
    <t>25175-10</t>
  </si>
  <si>
    <t>BOOM END FLUSH VALVE OUTLET CAP</t>
  </si>
  <si>
    <t>25175-11</t>
  </si>
  <si>
    <t xml:space="preserve">BEFV O-RING REPAIR KIT (2 VALVES) - VITON® </t>
  </si>
  <si>
    <t>25175-13</t>
  </si>
  <si>
    <t>FLUSH VALVE HANDLE - LONG - 1 1/4"</t>
  </si>
  <si>
    <t>25175-LV0</t>
  </si>
  <si>
    <t>25175-V0</t>
  </si>
  <si>
    <t>25176-LV0</t>
  </si>
  <si>
    <t>QN BOOM FLUSH VALVE - 1" NPT FEMALE ASSY, LONG HANDLE</t>
  </si>
  <si>
    <t>25176-V0</t>
  </si>
  <si>
    <t>QN BOOM FLUSH VALVE - 1" NPT FEMALE ASSY</t>
  </si>
  <si>
    <t>27310-00</t>
  </si>
  <si>
    <t>QF100, Clamp Assembly, Wingnut Handle</t>
  </si>
  <si>
    <t>27310-01</t>
  </si>
  <si>
    <t>QF100 - Right Clamp</t>
  </si>
  <si>
    <t>27310-02</t>
  </si>
  <si>
    <t xml:space="preserve">QF100 - Left Clamp </t>
  </si>
  <si>
    <t>27310-03</t>
  </si>
  <si>
    <t>QF100 - Clamp Pin</t>
  </si>
  <si>
    <t>27310-05</t>
  </si>
  <si>
    <t>QF100 - Clamp, Wingnut Handle</t>
  </si>
  <si>
    <t>27310-06</t>
  </si>
  <si>
    <t>QF100 - Clamp Bolt, 1/4" x 1-3/4", SS</t>
  </si>
  <si>
    <t>27311-00</t>
  </si>
  <si>
    <t>QF100, Clamp Assembly, Bolt and Nut</t>
  </si>
  <si>
    <t>27311-01</t>
  </si>
  <si>
    <t>27312-00</t>
  </si>
  <si>
    <t>QF100 - Flanged Tubing Adapter, 3 pc</t>
  </si>
  <si>
    <t>27312-01</t>
  </si>
  <si>
    <t>QF100, Adapter bdy</t>
  </si>
  <si>
    <t>27312-02</t>
  </si>
  <si>
    <t>QF100, Adapter Retainer</t>
  </si>
  <si>
    <t>27313-00</t>
  </si>
  <si>
    <t>QF100 - Flanged Tubing Adapter, short</t>
  </si>
  <si>
    <t>27313-01</t>
  </si>
  <si>
    <t>QF100 - Adapter body, short</t>
  </si>
  <si>
    <t>27315-00</t>
  </si>
  <si>
    <t>QF100 - Seal, SST to Flange, Viton</t>
  </si>
  <si>
    <t>27316-00</t>
  </si>
  <si>
    <t>QF100 - Seal, TWS to Flange, Viton</t>
  </si>
  <si>
    <t>27317-00</t>
  </si>
  <si>
    <t>QF100 - Seal, Flange to Flange, Viton</t>
  </si>
  <si>
    <t>27321-00</t>
  </si>
  <si>
    <t>Tee, QF100 x QF100 x QF100</t>
  </si>
  <si>
    <t>27322-00</t>
  </si>
  <si>
    <t>Tee, QF100 x QF100 x 1-1/4" HB</t>
  </si>
  <si>
    <t>27323-00</t>
  </si>
  <si>
    <t>Tee, QF100 x QF100 x 1" HB</t>
  </si>
  <si>
    <t>27324-00</t>
  </si>
  <si>
    <t>QF100 Coupling, 90</t>
  </si>
  <si>
    <t>27331-00</t>
  </si>
  <si>
    <t>27333-00</t>
  </si>
  <si>
    <t>QF100 x 1" HB, 90</t>
  </si>
  <si>
    <t>27341-00</t>
  </si>
  <si>
    <t>QF100 x 1-1/4" HB, Straight</t>
  </si>
  <si>
    <t>27343-00</t>
  </si>
  <si>
    <t>QF100 x 1-1/4" HB, 90</t>
  </si>
  <si>
    <t>27351-00</t>
  </si>
  <si>
    <t>QF100 x SST Adapter, Male</t>
  </si>
  <si>
    <t>27352-00</t>
  </si>
  <si>
    <t>QF100 x TWS Adapter, Male</t>
  </si>
  <si>
    <t>27353-00</t>
  </si>
  <si>
    <t>QF100 - Plug</t>
  </si>
  <si>
    <t>40140-00</t>
  </si>
  <si>
    <t>WET BOOM BODY - SQ. LUG, ASSY, 3/4" without DIAPHRAGM</t>
  </si>
  <si>
    <t>40140-01</t>
  </si>
  <si>
    <t>WET BOOM BODY - SQ. LUG, 3/4" without DIAPHRAGM</t>
  </si>
  <si>
    <t>40141-00</t>
  </si>
  <si>
    <t>WET BOOM BODY - SQ. LUG, ASSY, 1" without DIAPHRAGM</t>
  </si>
  <si>
    <t>40141-01</t>
  </si>
  <si>
    <t>WET BOOM BODY - SQ. LUG, 1" without DIAPHRAGM</t>
  </si>
  <si>
    <t>40150-00</t>
  </si>
  <si>
    <t>NOZZLE STRAINER - FLANGED, 50 MESH</t>
  </si>
  <si>
    <t>40150-01</t>
  </si>
  <si>
    <t>STRAINER SCREEN - SHORT - 50 MESH</t>
  </si>
  <si>
    <t>40150-02</t>
  </si>
  <si>
    <t>STRAINER CAGE - SHORT - RED</t>
  </si>
  <si>
    <t>40150-03</t>
  </si>
  <si>
    <t>RETAINER - RED</t>
  </si>
  <si>
    <t>40151-00</t>
  </si>
  <si>
    <t>NOZZLE STRAINER - FLANGED, 100 MESH</t>
  </si>
  <si>
    <t>40151-01</t>
  </si>
  <si>
    <t>STRAINER SCREEN, SHORT - 100 MESH</t>
  </si>
  <si>
    <t>40151-02</t>
  </si>
  <si>
    <t>STRAINER CAGE - SHORT - GREEN</t>
  </si>
  <si>
    <t>40151-03</t>
  </si>
  <si>
    <t>RETAINER - GREEN</t>
  </si>
  <si>
    <t>40152-00</t>
  </si>
  <si>
    <t>SQ. MT. DRY BOOM BODY, SS ASSY.-DOUBLE with DIAPHRAGM</t>
  </si>
  <si>
    <t>40153-00</t>
  </si>
  <si>
    <t>SQ. MT. DRY BOOM BODY, SS ASSY.-TRIPLE with DIAPHRAGM</t>
  </si>
  <si>
    <t>40155-07</t>
  </si>
  <si>
    <t>DIAPHRAGM - FAIRPRENE</t>
  </si>
  <si>
    <t>40155-08</t>
  </si>
  <si>
    <t>DIAPHRAGM MODULE ASSY.</t>
  </si>
  <si>
    <t>40155-09</t>
  </si>
  <si>
    <t>40155-10</t>
  </si>
  <si>
    <t>SCREW, 1/4-20NC x 3/4 HEX/SLOT WASHER HEAD SS</t>
  </si>
  <si>
    <t>40155-11</t>
  </si>
  <si>
    <t>SCREW, SWIVEL #6 x 1 5/8 PH SLOT SS</t>
  </si>
  <si>
    <t>40155-12</t>
  </si>
  <si>
    <t xml:space="preserve">DIAPHRAGM - VITON® </t>
  </si>
  <si>
    <t>40155-13</t>
  </si>
  <si>
    <t>40155-14</t>
  </si>
  <si>
    <t>DIAPHRAGM MODULE - 15 PSI, RED</t>
  </si>
  <si>
    <t>40155-15</t>
  </si>
  <si>
    <t>PRESSURE PAD - 15 PSI, RED</t>
  </si>
  <si>
    <t>40155-16</t>
  </si>
  <si>
    <t>DIAPHRAGM SPRING - 15 PSI</t>
  </si>
  <si>
    <t>40155-17</t>
  </si>
  <si>
    <t>DIAPHRAGM MODULE ASSY.- 20 PSI, RED</t>
  </si>
  <si>
    <t>40155-18</t>
  </si>
  <si>
    <t>DIAPHRAGM SPRING, 3 PSI</t>
  </si>
  <si>
    <t>40155-19</t>
  </si>
  <si>
    <t>DIAPHRAGM SPRING, 12.5 PSI</t>
  </si>
  <si>
    <t>40155-20</t>
  </si>
  <si>
    <t>DIAPHRAGM MODULE ASSY, 7 PSI</t>
  </si>
  <si>
    <t>40155-21</t>
  </si>
  <si>
    <t>MODULE RETAINER</t>
  </si>
  <si>
    <t>40155-22</t>
  </si>
  <si>
    <t>DIAPHRAGM RETAINER, MODULE ASSY, 10 PSI</t>
  </si>
  <si>
    <t>40155-23</t>
  </si>
  <si>
    <t>DIA,FKM,WITH BUILT-IN O-RING</t>
  </si>
  <si>
    <t>40155-V23</t>
  </si>
  <si>
    <t>40159-01</t>
  </si>
  <si>
    <t>NOZZLE CAP - SQ LUG., RED</t>
  </si>
  <si>
    <t>40159-02</t>
  </si>
  <si>
    <t>NOZZLE CAP - SQ LUG., WHITE</t>
  </si>
  <si>
    <t>40159-03</t>
  </si>
  <si>
    <t>NOZZLE CAP - SQ LUG., GREEN</t>
  </si>
  <si>
    <t>40159-04</t>
  </si>
  <si>
    <t>NOZZLE CAP - SQ LUG., YELLOW</t>
  </si>
  <si>
    <t>40159-05</t>
  </si>
  <si>
    <t>NOZZLE CAP - SQ LUG., BLACK</t>
  </si>
  <si>
    <t>40160-00</t>
  </si>
  <si>
    <t>NOZZLE GASKET - UNIVERSAL,EPDM</t>
  </si>
  <si>
    <t>40160-FKM</t>
  </si>
  <si>
    <t>NOZZLE GASKET - UNIVERSAL, FKM</t>
  </si>
  <si>
    <t>40160-V0</t>
  </si>
  <si>
    <t xml:space="preserve">NOZZLE GASKET - UNIVERSAL VITON® </t>
  </si>
  <si>
    <t>40161-00</t>
  </si>
  <si>
    <t>40162-00</t>
  </si>
  <si>
    <t>DRY BOOM ADAPTER - ONE WAY - 3/4" HB</t>
  </si>
  <si>
    <t>40163-00</t>
  </si>
  <si>
    <t>DRY BOOM ADAPTER - TWO WAY - 3/4" HB</t>
  </si>
  <si>
    <t>40164-00</t>
  </si>
  <si>
    <t>NOZZLE CAP-1/4" NPT FE, 45°,BLK</t>
  </si>
  <si>
    <t>40165-01</t>
  </si>
  <si>
    <t>ADAPTER CAP,SS x 0.423 x 0.600 HOSE SHANK, RED</t>
  </si>
  <si>
    <t>40165-02</t>
  </si>
  <si>
    <t>ADAPTER CAP,SS x 0.423 x 0.600 HOSE SHANK, WHITE</t>
  </si>
  <si>
    <t>40165-03</t>
  </si>
  <si>
    <t>ADAPTER CAP,SS x 0.423 x 0.600 HOSE SHANK, GREEN</t>
  </si>
  <si>
    <t>40165-04</t>
  </si>
  <si>
    <t>ADAPTER CAP,SS x 0.423 x 0.600 HOSE SHANK, YELLOW</t>
  </si>
  <si>
    <t>40165-05</t>
  </si>
  <si>
    <t>ADAPTER CAP,SS x 0.423 x 0.600 HOSE SHANK, BLACK+B380</t>
  </si>
  <si>
    <t>40166-04</t>
  </si>
  <si>
    <t>COMBO-JET O-RING REPAIR KIT (6 BODIES), BUNA-N</t>
  </si>
  <si>
    <t>40166-05</t>
  </si>
  <si>
    <t xml:space="preserve">COMBO-JET O-RING REPAIR KIT (6 BODIES), VITON® </t>
  </si>
  <si>
    <t>40169-01</t>
  </si>
  <si>
    <t>SPRAY TIP - ER110-01, ORANGE</t>
  </si>
  <si>
    <t>40169-015</t>
  </si>
  <si>
    <t>SPRAY TIP - ER110-015, GREEN</t>
  </si>
  <si>
    <t>40169-02</t>
  </si>
  <si>
    <t>SPRAY TIP - ER110-02, YELLOW</t>
  </si>
  <si>
    <t>40169-025</t>
  </si>
  <si>
    <t>SPRAY TIP - ER110-025, PURPLE</t>
  </si>
  <si>
    <t>40169-03</t>
  </si>
  <si>
    <t>SPRAY TIP - ER110-03, BLUE</t>
  </si>
  <si>
    <t>40169-04</t>
  </si>
  <si>
    <t>SPRAY TIP - ER110-04, RED</t>
  </si>
  <si>
    <t>40169-05</t>
  </si>
  <si>
    <t>SPRAY TIP - ER110-05, BROWN</t>
  </si>
  <si>
    <t>40169-06</t>
  </si>
  <si>
    <t>SPRAY TIP - ER110-06,GREY</t>
  </si>
  <si>
    <t>40169-08</t>
  </si>
  <si>
    <t>SPRAY TIP - ER110-08, WHITE</t>
  </si>
  <si>
    <t>40170-005</t>
  </si>
  <si>
    <t>SPRAY TIP - ER80-005, BLACK</t>
  </si>
  <si>
    <t>40170-007</t>
  </si>
  <si>
    <t>SPRAY TIP - ER80-0067, PINK</t>
  </si>
  <si>
    <t>40170-01</t>
  </si>
  <si>
    <t>SPRAY TIP - ER80-01, ORANGE</t>
  </si>
  <si>
    <t>40170-015</t>
  </si>
  <si>
    <t>SPRAY TIP - ER80-015, GREEN</t>
  </si>
  <si>
    <t>40170-02</t>
  </si>
  <si>
    <t>SPRAY TIP - ER80-02, YELLOW</t>
  </si>
  <si>
    <t>40170-025</t>
  </si>
  <si>
    <t>SPRAY TIP - ER80-025,PURPLE</t>
  </si>
  <si>
    <t>40170-03</t>
  </si>
  <si>
    <t>SPRAY TIP - ER80-03, BLUE</t>
  </si>
  <si>
    <t>40170-04</t>
  </si>
  <si>
    <t>SPRAY TIP - ER80-04, RED</t>
  </si>
  <si>
    <t>40170-05</t>
  </si>
  <si>
    <t>SPRAY TIP - ER80-05, BROWN</t>
  </si>
  <si>
    <t>40170-06</t>
  </si>
  <si>
    <t>SPRAY TIP - ER80-06, GREY</t>
  </si>
  <si>
    <t>40170-08</t>
  </si>
  <si>
    <t>SPRAY TIP - ER80-08, WHITE</t>
  </si>
  <si>
    <t>40179-05</t>
  </si>
  <si>
    <t>SPRAY TIP PLUG CAPSULE - BLACK</t>
  </si>
  <si>
    <t>40180-05</t>
  </si>
  <si>
    <t>SQ LUG. CAP BLANK - BLK</t>
  </si>
  <si>
    <t>40182-047</t>
  </si>
  <si>
    <t>SQ LUG. FERTILIZER NOZZLE, 2-ORIFICE@0.0469</t>
  </si>
  <si>
    <t>40182-086</t>
  </si>
  <si>
    <t>SQ LUG. FERTILIZER NOZZLE, 2-ORIFICE@0.086</t>
  </si>
  <si>
    <t>40182-104</t>
  </si>
  <si>
    <t>SQ LUG. FERTILIZER NOZZLE, 2-ORIFICE@0.104</t>
  </si>
  <si>
    <t>40183-047</t>
  </si>
  <si>
    <t>SQ LUG. FERTILIZER NOZZLE, 3-ORIFICE@0.0469</t>
  </si>
  <si>
    <t>40183-067</t>
  </si>
  <si>
    <t>SQ LUG. FERTILIZER NOZZLE, 3-ORIFICE@0.067</t>
  </si>
  <si>
    <t>40193-02</t>
  </si>
  <si>
    <t>HI-LO SCREW -#10 x 3/4" PHILIPS</t>
  </si>
  <si>
    <t>40197-05</t>
  </si>
  <si>
    <t>SQ LUG. NOZZLE CAP BLANK - BLACK</t>
  </si>
  <si>
    <t>40198-SM</t>
  </si>
  <si>
    <t>NOZZLE GASKET - SMALLER OD,EPDM</t>
  </si>
  <si>
    <t>40198-V0</t>
  </si>
  <si>
    <t xml:space="preserve">NOZZLE GASKET - SMALLER OD, VITON® </t>
  </si>
  <si>
    <t>40199-00</t>
  </si>
  <si>
    <t>LOCK NUT - 11/16 THREAD</t>
  </si>
  <si>
    <t>40200-02</t>
  </si>
  <si>
    <t>O-RING - 206 BU 70</t>
  </si>
  <si>
    <t>40200-03</t>
  </si>
  <si>
    <t>POLY WASHER</t>
  </si>
  <si>
    <t>40200-V2</t>
  </si>
  <si>
    <t>O-RING - 206 VITON®  70</t>
  </si>
  <si>
    <t>40202-00</t>
  </si>
  <si>
    <t>ADAPER ASSY. - HARDI to COMBO-JET</t>
  </si>
  <si>
    <t>40202-01</t>
  </si>
  <si>
    <t>ADAPTER BODY - HARDI to COMBO-JET</t>
  </si>
  <si>
    <t>40203-00</t>
  </si>
  <si>
    <t>ADAPTER ASSY. - COMBO-JET to CONV</t>
  </si>
  <si>
    <t>40203-01</t>
  </si>
  <si>
    <t>ADAPTER BODY - COMBO-JET to CONV</t>
  </si>
  <si>
    <t>40204-00</t>
  </si>
  <si>
    <t>TWISTLOCK ADAPTER ASSY. - SL to COMBO-JET</t>
  </si>
  <si>
    <t>40204-V0</t>
  </si>
  <si>
    <t>TWISTLOCK ADAPTER ASSY. - SL to COMBO-JET with VITON®  O-RING</t>
  </si>
  <si>
    <t>40205-00</t>
  </si>
  <si>
    <t>AGRIFAC ADAPTER, COMBO-JET CAP TO AGRIFAC</t>
  </si>
  <si>
    <t>40208-02</t>
  </si>
  <si>
    <t>O-RING - 010 BU 70</t>
  </si>
  <si>
    <t>40208-03</t>
  </si>
  <si>
    <t>O-RING - 118 BU 70</t>
  </si>
  <si>
    <t>40225-00</t>
  </si>
  <si>
    <t>SWIVEL BODY ASSY., C/J SINGLE,1/4" NPT MALE</t>
  </si>
  <si>
    <t>40225-01</t>
  </si>
  <si>
    <t>SWIVEL BODY INLET,SINGLE, 1/4" NPT MALE</t>
  </si>
  <si>
    <t>40225-02</t>
  </si>
  <si>
    <t>SWIVEL BODY OUTLET, C/J</t>
  </si>
  <si>
    <t>40225-03</t>
  </si>
  <si>
    <t>LOCKING STUD, #10 x 1 1/2"</t>
  </si>
  <si>
    <t>40225-04</t>
  </si>
  <si>
    <t>40225-05</t>
  </si>
  <si>
    <t>O-RING, 9/16 x 11/16 VITON®  015</t>
  </si>
  <si>
    <t>40225-06</t>
  </si>
  <si>
    <t>FLOW INDICATOR METERING ORIFICE O-RING KIT, BUNA-N</t>
  </si>
  <si>
    <t>40225-07</t>
  </si>
  <si>
    <t xml:space="preserve">FLOW INDICATOR METERING ORIFICE O-RING KIT, VITON® </t>
  </si>
  <si>
    <t>40226-00</t>
  </si>
  <si>
    <t>SWIVEL BODY ASSY.,C/J DOUBLE,1/4" NPT MALE</t>
  </si>
  <si>
    <t>40226-01</t>
  </si>
  <si>
    <t>SWIVEL BODY INLET, DOUBLE, 1/4" NPT MALE</t>
  </si>
  <si>
    <t>40227-00</t>
  </si>
  <si>
    <t>SWIVEL BODY ASSY., C/J SINGLE,1/4" NPT FEMALE</t>
  </si>
  <si>
    <t>40227-01</t>
  </si>
  <si>
    <t>SWIVEL BODY INLET,SINGLE, 1/4" NPT FEMALE</t>
  </si>
  <si>
    <t>40228-00</t>
  </si>
  <si>
    <t>SWIVEL BODY ASSY.,C/J DOUBLE,1/4" NPT FEMALE</t>
  </si>
  <si>
    <t>40228-01</t>
  </si>
  <si>
    <t>SWIVEL BODY INLET, DOUBLE, 1/4" NPT FEMALE</t>
  </si>
  <si>
    <t>40229-00</t>
  </si>
  <si>
    <t>SWIVEL BODY ASSY., C/J SINGLE,1/4" NPT MALE,1/4" NPT FEMALE</t>
  </si>
  <si>
    <t>40229-01</t>
  </si>
  <si>
    <t>SWIVEL BODY INLET,SINGLE, 1/4" NPT MALE, 1/4" NPT FEMALE</t>
  </si>
  <si>
    <t>40230-00</t>
  </si>
  <si>
    <t>SWIVEL BODY ASSY.,C/J DOUBLE,1/4" NPT MALE,1/4" NPT FEMALE</t>
  </si>
  <si>
    <t>40230-01</t>
  </si>
  <si>
    <t>SWIVEL BODY INLET,DOUBLE, 1/4" NPT MALE, 1/4" NPT FEMALE</t>
  </si>
  <si>
    <t>40231-00</t>
  </si>
  <si>
    <t>DIAPHRAGM SWIVEL BODY ASSY., C/J SINGLE,1/4" NPT MALE</t>
  </si>
  <si>
    <t>40231-01</t>
  </si>
  <si>
    <t>DIAPHRAGM SWIVEL BODY OUTLET</t>
  </si>
  <si>
    <t>40231-02</t>
  </si>
  <si>
    <t>LOCKING STUD, #10 x 2"</t>
  </si>
  <si>
    <t>40232-00</t>
  </si>
  <si>
    <t>DIAPHRAGM SWIVEL BODY ASSY.,C/J DOUBLE,1/4" NPT MALE</t>
  </si>
  <si>
    <t>40233-00</t>
  </si>
  <si>
    <t>DIAPHRAGM SWIVEL BODY ASSY., C/J SINGLE,1/4" NPT FEMALE</t>
  </si>
  <si>
    <t>40234-00</t>
  </si>
  <si>
    <t>DIAPHRAGM SWIVEL BODY ASSY.,C/J DOUBLE,1/4" NPT FEMALE</t>
  </si>
  <si>
    <t>40235-00</t>
  </si>
  <si>
    <t>DIAPHRAGM SWIVEL BODY ASSY., C/J SINGLE,1/4" NPT MALE,1/4" NPT FEMALE</t>
  </si>
  <si>
    <t>40236-00</t>
  </si>
  <si>
    <t>DIAPHRAGM SWIVEL BODY ASSY.,C/J DOUBLE,1/4" NPT MALE,1/4" NPT FEMALE</t>
  </si>
  <si>
    <t>40237-00</t>
  </si>
  <si>
    <t>SHUT-OFF DIAPHRAGM SWIVEL BODY ASSY., C/J SINGLE,1/4" NPT MALE</t>
  </si>
  <si>
    <t>40237-01</t>
  </si>
  <si>
    <t>MODULE, SHUT-OFF</t>
  </si>
  <si>
    <t>40237-02</t>
  </si>
  <si>
    <t>KNOB, SHUT-OFF</t>
  </si>
  <si>
    <t>40237-03</t>
  </si>
  <si>
    <t>MODULE ASSEMBLY, SHUT-OFF</t>
  </si>
  <si>
    <t>40238-00</t>
  </si>
  <si>
    <t>SHUT-OFF DIAPHRAGM SWIVEL BODY ASSY.,C/J DOUBLE,1/4" NPT MALE</t>
  </si>
  <si>
    <t>40239-00</t>
  </si>
  <si>
    <t>SHUT-OFF DIAPHRAGM SWIVEL BODY ASSY., C/J SINGLE,1/4" NPT FEMALE</t>
  </si>
  <si>
    <t>40240-00</t>
  </si>
  <si>
    <t>SHUT-OFF DIAPHRAGM SWIVEL BODY ASSY.,C/J DOUBLE,1/4" NPT FEMALE</t>
  </si>
  <si>
    <t>40241-00</t>
  </si>
  <si>
    <t>SHUT-OFF DIAPHRAGM SWIVEL BODY ASSY., C/J SINGLE,1/4" NPT M,1/4" NPT FE</t>
  </si>
  <si>
    <t>40242-00</t>
  </si>
  <si>
    <t>SHUT-OFF DIAPHRAGM SWIVEL BODY ASSY.,C/J DOUBLE,1/4" NPT M,1/4" NPT FE</t>
  </si>
  <si>
    <t>40243-00</t>
  </si>
  <si>
    <t>SWIVEL BODY ASSY.,C/J SINGLE,3/8" HOSE SHANK, SQ.MT.</t>
  </si>
  <si>
    <t>40243-01</t>
  </si>
  <si>
    <t>SWIVEL BODY INLET, SINGLE, 3/8" HOSE SHANK,SQ.MT.</t>
  </si>
  <si>
    <t>40244-00</t>
  </si>
  <si>
    <t>DIAPHRAGM SWIVEL BODY ASSY., C/J SINGLE,3/8" HOSE SHANK,SQ.MT.</t>
  </si>
  <si>
    <t>40245-00</t>
  </si>
  <si>
    <t>SHUT-OFF DIAPHRAGM SWIVEL BODY ASSY., C/J SINGLE,3/8" HOSE SHANK,SQ.MT.</t>
  </si>
  <si>
    <t>40247-00</t>
  </si>
  <si>
    <t>SLOTTED STRAINER - C/J - 16 MESH</t>
  </si>
  <si>
    <t>40248-00</t>
  </si>
  <si>
    <t>SLOTTED STRAINER - C/J - 25 MESH</t>
  </si>
  <si>
    <t>40249-00</t>
  </si>
  <si>
    <t>SLOTTED STRAINER - C/J - 50 MESH</t>
  </si>
  <si>
    <t>40250-00</t>
  </si>
  <si>
    <t>NOZZLE STRAINER ASSY - SNAP-IN C/J, 50 MESH</t>
  </si>
  <si>
    <t>40250-01</t>
  </si>
  <si>
    <t>STRAINER SCREEN - C/J - 50 MESH</t>
  </si>
  <si>
    <t>40250-02</t>
  </si>
  <si>
    <t>STRAINER CAGE - C/J - RED</t>
  </si>
  <si>
    <t>40250-03</t>
  </si>
  <si>
    <t>40251-00</t>
  </si>
  <si>
    <t>NOZZLE STRAINER ASSY - SNAP-IN C/J, 100 MESH</t>
  </si>
  <si>
    <t>40251-01</t>
  </si>
  <si>
    <t>STRAINER SCREEN - C/J - 100 MESH</t>
  </si>
  <si>
    <t>40251-02</t>
  </si>
  <si>
    <t>STRAINER CAGE - C/J - GREEN</t>
  </si>
  <si>
    <t>40251-03</t>
  </si>
  <si>
    <t>40260-00</t>
  </si>
  <si>
    <t>NOZZLE SEAL - COMBO-JET 13 mm X 3 mm</t>
  </si>
  <si>
    <t>40260-V0</t>
  </si>
  <si>
    <t xml:space="preserve">NOZZLE SEAL - COMBO-JET 13 mm X 3 mm - VITON® </t>
  </si>
  <si>
    <t>40261-00</t>
  </si>
  <si>
    <t>SEAL/STRAINER ADAPTER</t>
  </si>
  <si>
    <t>40269-01</t>
  </si>
  <si>
    <t>RL CAP - UNIVERSAL, SLOT - RED</t>
  </si>
  <si>
    <t>40269-02</t>
  </si>
  <si>
    <t>RL CAP - UNIVERSAL, SLOT - WHITE</t>
  </si>
  <si>
    <t>40269-03</t>
  </si>
  <si>
    <t>RL CAP - UNIVERSAL, SLOT - GREEN</t>
  </si>
  <si>
    <t>40269-04</t>
  </si>
  <si>
    <t>RL CAP - UNIVERSAL, SLOT - YELLOW</t>
  </si>
  <si>
    <t>40269-05</t>
  </si>
  <si>
    <t>RL CAP - UNIVERSAL, SLOT - BLACK</t>
  </si>
  <si>
    <t>40269-06</t>
  </si>
  <si>
    <t>RL CAP - UNIVERSAL, SLOT - BLUE</t>
  </si>
  <si>
    <t>40269-07</t>
  </si>
  <si>
    <t>RL CAP - UNIVERSAL, SLOT - BROWN</t>
  </si>
  <si>
    <t>40269-08</t>
  </si>
  <si>
    <t>RL CAP - UNIVERSAL, SLOT - ORANGE</t>
  </si>
  <si>
    <t>40269-09</t>
  </si>
  <si>
    <t>RL CAP - UNIVERSAL, SLOT - GRAY</t>
  </si>
  <si>
    <t>40270-005</t>
  </si>
  <si>
    <t>COMBO-JET TIP/CAP ASSY - ER80-005, BLACK</t>
  </si>
  <si>
    <t>40270-007</t>
  </si>
  <si>
    <t>COMBO-JET TIP/CAP ASSY - ER80-0067, PINK</t>
  </si>
  <si>
    <t>40270-01</t>
  </si>
  <si>
    <t>COMBO-JET TIP/CAP ASSY - ER80-01, ORANGE</t>
  </si>
  <si>
    <t>40270-015</t>
  </si>
  <si>
    <t>COMBO-JET TIP/CAP ASSY - ER80-015, GREEN</t>
  </si>
  <si>
    <t>40270-02</t>
  </si>
  <si>
    <t>COMBO-JET TIP/CAP ASSY - ER80-02, YELLOW</t>
  </si>
  <si>
    <t>40270-025</t>
  </si>
  <si>
    <t>COMBO-JET TIP/CAP ASSY - ER80-025,PURPLE</t>
  </si>
  <si>
    <t>40270-03</t>
  </si>
  <si>
    <t>COMBO-JET TIP/CAP ASSY - ER80-03, BLUE</t>
  </si>
  <si>
    <t>40270-04</t>
  </si>
  <si>
    <t>COMBO-JET TIP/CAP ASSY - ER80-04, RED</t>
  </si>
  <si>
    <t>40270-05</t>
  </si>
  <si>
    <t>COMBO-JET TIP/CAP ASSY - ER80-05, BROWN</t>
  </si>
  <si>
    <t>40270-06</t>
  </si>
  <si>
    <t>COMBO-JET TIP/CAP ASSY - ER80-06, GREY</t>
  </si>
  <si>
    <t>40270-08</t>
  </si>
  <si>
    <t>COMBO-JET TIP/CAP ASSY - ER80-08, WHITE</t>
  </si>
  <si>
    <t>40270-10</t>
  </si>
  <si>
    <t>COMBO-JET HV TIP/CAP ASSY - ER80-10, LT.BLU</t>
  </si>
  <si>
    <t>40270-125</t>
  </si>
  <si>
    <t>COMBO-JET HV TIP/CAP ASSY - ER80-125, TEAL</t>
  </si>
  <si>
    <t>40270-15</t>
  </si>
  <si>
    <t>COMBO-JET HV TIP/CAP ASSY - ER80-15, LT.GRN</t>
  </si>
  <si>
    <t>40270-20</t>
  </si>
  <si>
    <t>COMBO-JET HV TIP/CAP ASSY - ER80-20, TAN</t>
  </si>
  <si>
    <t>40270-25</t>
  </si>
  <si>
    <t>COMBO-JET HV TIP/CAP ASSY - ER80-25, BLK</t>
  </si>
  <si>
    <t>40270-30</t>
  </si>
  <si>
    <t>COMBO-JET HV TIP/CAP ASSY - ER80-30, BLK</t>
  </si>
  <si>
    <t>40270-40</t>
  </si>
  <si>
    <t>COMBO-JET HV TIP/CAP ASSY - ER80-40, BLK</t>
  </si>
  <si>
    <t>40270-50</t>
  </si>
  <si>
    <t>COMBO-JET HV TIP/CAP ASSY - ER80-50, BLK</t>
  </si>
  <si>
    <t>40270-60</t>
  </si>
  <si>
    <t>COMBO-JET HV TIP/CAP ASSY - ER80-60, BLK</t>
  </si>
  <si>
    <t>40271-01</t>
  </si>
  <si>
    <t>RL CAP- UNIVERSAL, ROUND - RED</t>
  </si>
  <si>
    <t>40271-02</t>
  </si>
  <si>
    <t>RL CAP- UNIVERSAL, ROUND - WHITE</t>
  </si>
  <si>
    <t>40271-03</t>
  </si>
  <si>
    <t>RL CAP- UNIVERSAL, ROUND - GREEN</t>
  </si>
  <si>
    <t>40271-04</t>
  </si>
  <si>
    <t>RL CAP- UNIVERSAL, ROUND - YELLOW</t>
  </si>
  <si>
    <t>40271-05</t>
  </si>
  <si>
    <t>RL CAP- UNIVERSAL, ROUND - BLACK</t>
  </si>
  <si>
    <t>40271-06</t>
  </si>
  <si>
    <t>RL CAP- UNIVERSAL, ROUND - BLUE</t>
  </si>
  <si>
    <t>40271-07</t>
  </si>
  <si>
    <t>RL CAP- UNIVERSAL, ROUND - BROWN</t>
  </si>
  <si>
    <t>40271-08</t>
  </si>
  <si>
    <t>RL CAP- UNIVERSAL, ROUND - ORANGE</t>
  </si>
  <si>
    <t>40271-09</t>
  </si>
  <si>
    <t>RL CAP- UNIVERSAL, ROUND - GREY</t>
  </si>
  <si>
    <t>40272-01</t>
  </si>
  <si>
    <t>RL CAP- PLUG- RED</t>
  </si>
  <si>
    <t>40272-02</t>
  </si>
  <si>
    <t>RL CAP- PLUG - WHITE</t>
  </si>
  <si>
    <t>40272-03</t>
  </si>
  <si>
    <t>RL CAP- PLUG - GREEN</t>
  </si>
  <si>
    <t>40272-04</t>
  </si>
  <si>
    <t>RL CAP- PLUG - YELLOW</t>
  </si>
  <si>
    <t>40272-05</t>
  </si>
  <si>
    <t>RL CAP- PLUG - BLACK</t>
  </si>
  <si>
    <t>40272-B5</t>
  </si>
  <si>
    <t>40272-V5</t>
  </si>
  <si>
    <t>RL CAP- PLUG - BLACK W/ VITON®  O-RING</t>
  </si>
  <si>
    <t>40273-01</t>
  </si>
  <si>
    <t>RL CAP- 1/4" NPT F - RED</t>
  </si>
  <si>
    <t>40273-02</t>
  </si>
  <si>
    <t>RL CAP- 1/4" NPT F - WHITE</t>
  </si>
  <si>
    <t>40273-03</t>
  </si>
  <si>
    <t>RL CAP- 1/4" NPT F - GREEN</t>
  </si>
  <si>
    <t>40273-04</t>
  </si>
  <si>
    <t>RL CAP- 1/4" NPT F - YELLOW</t>
  </si>
  <si>
    <t>40273-05</t>
  </si>
  <si>
    <t>RL CAP- 1/4" NPT F - BLACK</t>
  </si>
  <si>
    <t>40273-B5</t>
  </si>
  <si>
    <t>40273-V5</t>
  </si>
  <si>
    <t>RL CAP ASSY- 1/4" NPT F - BLACK, W/ ADAPTER AND VITON®  O-RING</t>
  </si>
  <si>
    <t>40274-01</t>
  </si>
  <si>
    <t>RL CAP- 1/4" NPT F, 45° - RED</t>
  </si>
  <si>
    <t>40274-02</t>
  </si>
  <si>
    <t>RL CAP- 1/4" NPT F, 45° - WHITE</t>
  </si>
  <si>
    <t>40274-03</t>
  </si>
  <si>
    <t>RL CAP- 1/4" NPT F, 45° - GREEN</t>
  </si>
  <si>
    <t>40274-04</t>
  </si>
  <si>
    <t>RL CAP- 1/4" NPT F, 45° - YELLOW</t>
  </si>
  <si>
    <t>40274-05</t>
  </si>
  <si>
    <t>RL CAP- 1/4" NPT F, 45° - BLACK</t>
  </si>
  <si>
    <t>40274-B5</t>
  </si>
  <si>
    <t>40274-V5</t>
  </si>
  <si>
    <t>RL CAP ASSY- 1/4" NPT F, 45° - BLACK, W/ ADAPTER AND VITON®  O-RING</t>
  </si>
  <si>
    <t>40275-01</t>
  </si>
  <si>
    <t>RL CAP- HARDI SLOT- RED</t>
  </si>
  <si>
    <t>40275-02</t>
  </si>
  <si>
    <t>RL CAP- HARDI SLOT- WHITE</t>
  </si>
  <si>
    <t>40275-03</t>
  </si>
  <si>
    <t>RL CAP- HARDI SLOT- GREEN</t>
  </si>
  <si>
    <t>40275-04</t>
  </si>
  <si>
    <t>RL CAP- HARDI SLOT- YELLOW</t>
  </si>
  <si>
    <t>40275-05</t>
  </si>
  <si>
    <t>RL CAP- HARDI SLOT- BLACK</t>
  </si>
  <si>
    <t>40276-01</t>
  </si>
  <si>
    <t>RL CAP- WIDE SLOT- RED</t>
  </si>
  <si>
    <t>40276-02</t>
  </si>
  <si>
    <t>RL CAP- WIDE SLOT- WHITE</t>
  </si>
  <si>
    <t>40276-03</t>
  </si>
  <si>
    <t>RL CAP- WIDE SLOT- GREEN</t>
  </si>
  <si>
    <t>40276-04</t>
  </si>
  <si>
    <t>RL CAP- WIDE SLOT- YELLOW</t>
  </si>
  <si>
    <t>40276-05</t>
  </si>
  <si>
    <t>RL CAP- WIDE SLOT- BLACK</t>
  </si>
  <si>
    <t>40277-01</t>
  </si>
  <si>
    <t>RL CAP- 1/8" NPT F - RED</t>
  </si>
  <si>
    <t>40277-02</t>
  </si>
  <si>
    <t>RL CAP- 1/8" NPT F - WHITE</t>
  </si>
  <si>
    <t>40277-03</t>
  </si>
  <si>
    <t>RL CAP- 1/8" NPT F - GREEN</t>
  </si>
  <si>
    <t>40277-04</t>
  </si>
  <si>
    <t>RL CAP- 1/8" NPT F - YELLOW</t>
  </si>
  <si>
    <t>40277-05</t>
  </si>
  <si>
    <t>RL CAP- 1/8" NPT F - BLACK</t>
  </si>
  <si>
    <t>40277-B5</t>
  </si>
  <si>
    <t>40277-V5</t>
  </si>
  <si>
    <t>RL CAP ASSY - 1/8" NPT F - BLACK, W/ ADAPTER AND VITON®  O-RING</t>
  </si>
  <si>
    <t>40279-01</t>
  </si>
  <si>
    <t>RL CAP- UNIVERSAL SLOT, HIGH VOLUME- RED</t>
  </si>
  <si>
    <t>40279-02</t>
  </si>
  <si>
    <t>RL CAP- UNIVERSAL SLOT, HIGH VOLUME- WHITE</t>
  </si>
  <si>
    <t>40279-03</t>
  </si>
  <si>
    <t>RL CAP- UNIVERSAL SLOT, HIGH VOLUME- GREEN</t>
  </si>
  <si>
    <t>40279-04</t>
  </si>
  <si>
    <t>RL CAP- UNIVERSAL SLOT, HIGH VOLUME- YELLOW</t>
  </si>
  <si>
    <t>40279-05</t>
  </si>
  <si>
    <t>RL CAP- UNIVERSAL SLOT, HIGH VOLUME- BLACK</t>
  </si>
  <si>
    <t>40280-005</t>
  </si>
  <si>
    <t>DR COMBO-JET TIP/CAP ASSY - DR80-005, BLACK</t>
  </si>
  <si>
    <t>40280-007</t>
  </si>
  <si>
    <t>DR COMBO-JET TIP/CAP ASSY - DR80-0067, PINK</t>
  </si>
  <si>
    <t>40280-01</t>
  </si>
  <si>
    <t>DR COMBO-JET TIP/CAP ASSY - DR80-01, ORANGE</t>
  </si>
  <si>
    <t>40280-015</t>
  </si>
  <si>
    <t>DR COMBO-JET TIP/CAP ASSY - DR80-015, GREEN</t>
  </si>
  <si>
    <t>40280-02</t>
  </si>
  <si>
    <t>DR COMBO-JET TIP/CAP ASSY - DR80-02, YELLOW</t>
  </si>
  <si>
    <t>40280-025</t>
  </si>
  <si>
    <t>DR COMBO-JET TIP/CAP ASSY - DR80-025, PURPLE</t>
  </si>
  <si>
    <t>40280-03</t>
  </si>
  <si>
    <t>DR COMBO-JET TIP/CAP ASSY - DR80-03, BLUE</t>
  </si>
  <si>
    <t>40280-04</t>
  </si>
  <si>
    <t>DR COMBO-JET TIP/CAP ASSY - DR80-04, RED</t>
  </si>
  <si>
    <t>40280-05</t>
  </si>
  <si>
    <t>DR COMBO-JET TIP/CAP ASSY - DR80-05, BROWN</t>
  </si>
  <si>
    <t>40280-06</t>
  </si>
  <si>
    <t>DR COMBO-JET TIP/CAP ASSY - DR80-06, GREY</t>
  </si>
  <si>
    <t>40280-08</t>
  </si>
  <si>
    <t>DR COMBO-JET TIP/CAP ASSY - DR80-08, WHITE</t>
  </si>
  <si>
    <t>40280-10</t>
  </si>
  <si>
    <t>DR COMBO-JET TIP/CAP ASSY - DR80-10, LT BLUE</t>
  </si>
  <si>
    <t>40280-125</t>
  </si>
  <si>
    <t>DR COMBO-JET TIP/CAP ASSY - DR80-125, TEAL</t>
  </si>
  <si>
    <t>40280-15</t>
  </si>
  <si>
    <t>DR COMBO-JET TIP/CAP ASSY - DR80-15, LT GREEN</t>
  </si>
  <si>
    <t>40280-20</t>
  </si>
  <si>
    <t xml:space="preserve">DR COMBO-JET TIP/CAP ASSY - DR80-20, TAN </t>
  </si>
  <si>
    <t>40280-25</t>
  </si>
  <si>
    <t>DR COMBO-JET TIP/CAP ASSY - DR80-25, BLACK</t>
  </si>
  <si>
    <t>40280-30</t>
  </si>
  <si>
    <t>DR COMBO-JET TIP/CAP ASSY - DR80-30, BLACK</t>
  </si>
  <si>
    <t>40281-01</t>
  </si>
  <si>
    <t>COMBO-JET TIP/CAP ASSY - ER110-01, ORANGE</t>
  </si>
  <si>
    <t>40281-015</t>
  </si>
  <si>
    <t>COMBO-JET TIP/CAP ASSY - ER110-015, GREEN</t>
  </si>
  <si>
    <t>40281-02</t>
  </si>
  <si>
    <t>COMBO-JET TIP/CAP ASSY - ER110-02, YELLOW</t>
  </si>
  <si>
    <t>40281-025</t>
  </si>
  <si>
    <t>COMBO-JET TIP/CAP ASSY - ER110-025, PURPLE</t>
  </si>
  <si>
    <t>40281-03</t>
  </si>
  <si>
    <t>COMBO-JET TIP/CAP ASSY - ER110-03, BLUE</t>
  </si>
  <si>
    <t>40281-04</t>
  </si>
  <si>
    <t>COMBO-JET TIP/CAP ASSY - ER110-04, RED</t>
  </si>
  <si>
    <t>40281-05</t>
  </si>
  <si>
    <t>COMBO-JET TIP/CAP ASSY - ER110-05, BROWN</t>
  </si>
  <si>
    <t>40281-06</t>
  </si>
  <si>
    <t>COMBO-JET TIP/CAP ASSY - ER110-06,GREY</t>
  </si>
  <si>
    <t>40281-08</t>
  </si>
  <si>
    <t>COMBO-JET TIP/CAP ASSY - ER110-08, WHITE</t>
  </si>
  <si>
    <t>40281-10</t>
  </si>
  <si>
    <t>COMBO-JET HV TIP/CAP ASSY - ER110-10, LT.BLU</t>
  </si>
  <si>
    <t>40281-125</t>
  </si>
  <si>
    <t>COMBO-JET HV TIP/CAP ASSY - ER110-125, TEAL</t>
  </si>
  <si>
    <t>40281-15</t>
  </si>
  <si>
    <t>COMBO-JET HV TIP/CAP ASSY - ER110-15, LT.GRN</t>
  </si>
  <si>
    <t>40281-20</t>
  </si>
  <si>
    <t>COMBO-JET HV TIP/CAP ASSY - ER110-20, TAN</t>
  </si>
  <si>
    <t>40281-25</t>
  </si>
  <si>
    <t>COMBO-JET HV TIP/CAP ASSY - ER110-25, BLACK</t>
  </si>
  <si>
    <t>40281-30</t>
  </si>
  <si>
    <t>COMBO-JET HV TIP/CAP ASSY - ER110-30, BLACK</t>
  </si>
  <si>
    <t>40285-005</t>
  </si>
  <si>
    <t>PRE-ORIFICE,R80-005, BLACK</t>
  </si>
  <si>
    <t>40285-007</t>
  </si>
  <si>
    <t>PRE-ORIFICE,R80-0067, PINK</t>
  </si>
  <si>
    <t>40285-01</t>
  </si>
  <si>
    <t>PRE-ORIFICE,R80-01, ORANGE</t>
  </si>
  <si>
    <t>40285-015</t>
  </si>
  <si>
    <t>PRE-ORIFICE,R80-015, GREEN</t>
  </si>
  <si>
    <t>40285-02</t>
  </si>
  <si>
    <t>PRE-ORIFICE,R80-02, YELLOW</t>
  </si>
  <si>
    <t>40285-025</t>
  </si>
  <si>
    <t>PRE-ORIFICE,R80-025, PURPLE</t>
  </si>
  <si>
    <t>40285-03</t>
  </si>
  <si>
    <t>PRE-ORIFICE,R80-03, BLUE</t>
  </si>
  <si>
    <t>40285-04</t>
  </si>
  <si>
    <t>PRE-ORIFICE,R80-04, RED</t>
  </si>
  <si>
    <t>40285-05</t>
  </si>
  <si>
    <t>PRE-ORIFICE,R80-05, BROWN</t>
  </si>
  <si>
    <t>40285-06</t>
  </si>
  <si>
    <t>PRE-ORIFICE,R80-06, GREY</t>
  </si>
  <si>
    <t>40285-08</t>
  </si>
  <si>
    <t>PRE-ORIFICE,R80-08, LONG, WHITE</t>
  </si>
  <si>
    <t>40285-08S</t>
  </si>
  <si>
    <t>PRE-ORIFICE,R80-08, SHORT, WHITE</t>
  </si>
  <si>
    <t>40285-10</t>
  </si>
  <si>
    <t>PRE-ORIFICE,R80-10, LONG, LT BLUE</t>
  </si>
  <si>
    <t>40285-10S</t>
  </si>
  <si>
    <t>PRE-ORIFICE,R80-10, SHORT, LT BLUE</t>
  </si>
  <si>
    <t>40285-125</t>
  </si>
  <si>
    <t>PRE-ORIFICE,R80-125, LONG, TEAL</t>
  </si>
  <si>
    <t>40285-13S</t>
  </si>
  <si>
    <t>PRE-ORIFICE,R80-125, SHORT, TEAL</t>
  </si>
  <si>
    <t>40285-15</t>
  </si>
  <si>
    <t>PRE-ORIFICE,R80-15, LONG, LT GREEN</t>
  </si>
  <si>
    <t>40285-20</t>
  </si>
  <si>
    <t>PRE-ORIFICE,R80-20, LONG, TAN</t>
  </si>
  <si>
    <t>40285-25</t>
  </si>
  <si>
    <t>PRE-ORIFICE,R80-25, LONG, BLACK</t>
  </si>
  <si>
    <t>40285-30</t>
  </si>
  <si>
    <t>PRE-ORIFICE,R80-30, LONG, BLACK</t>
  </si>
  <si>
    <t>40285-40</t>
  </si>
  <si>
    <t>PRE-ORIFICE,R80-40, LONG, BLACK</t>
  </si>
  <si>
    <t>40285-50</t>
  </si>
  <si>
    <t>PRE-ORIFICE,R80-50, LONG, BLACK</t>
  </si>
  <si>
    <t>40285-XX</t>
  </si>
  <si>
    <t>PRE-ORIFICE (SEE PAGE 4/5)</t>
  </si>
  <si>
    <t>40286-015</t>
  </si>
  <si>
    <t>DR COMBO-JET TIP/CAP ASSY - DR110-015, GREEN</t>
  </si>
  <si>
    <t>40286-02</t>
  </si>
  <si>
    <t>DR COMBO-JET TIP/CAP ASSY - DR110-02, YELLOW</t>
  </si>
  <si>
    <t>40286-025</t>
  </si>
  <si>
    <t>DR COMBO-JET TIP/CAP ASSY - DR110-025, PURPLE</t>
  </si>
  <si>
    <t>40286-03</t>
  </si>
  <si>
    <t>DR COMBO-JET TIP/CAP ASSY - DR110-03, BLUE</t>
  </si>
  <si>
    <t>40286-04</t>
  </si>
  <si>
    <t>DR COMBO-JET TIP/CAP ASSY - DR110-04, RED</t>
  </si>
  <si>
    <t>40286-05</t>
  </si>
  <si>
    <t>DR COMBO-JET TIP/CAP ASSY - DR110-05, BROWN</t>
  </si>
  <si>
    <t>40286-06</t>
  </si>
  <si>
    <t>DR COMBO-JET TIP/CAP ASSY - DR110-06, GREY</t>
  </si>
  <si>
    <t>40286-08</t>
  </si>
  <si>
    <t>DR COMBO-JET TIP/CAP ASSY - DR110-08, WHITE</t>
  </si>
  <si>
    <t>40286-10</t>
  </si>
  <si>
    <t>DR COMBO-JET HV TIP/CAP ASSY - DR110-10, LT BLUE</t>
  </si>
  <si>
    <t>40286-125</t>
  </si>
  <si>
    <t>DR COMBO-JET TIP/CAP ASSY - DR110-125, TEAL</t>
  </si>
  <si>
    <t>40286-15</t>
  </si>
  <si>
    <t xml:space="preserve">DR COMBO-JET TIP/CAP ASSY - DR110-15, LT GREEN </t>
  </si>
  <si>
    <t>40286-20</t>
  </si>
  <si>
    <t xml:space="preserve">DR COMBO-JET TIP/CAP ASSY - DR110-20, TAN </t>
  </si>
  <si>
    <t>40287-015</t>
  </si>
  <si>
    <t>SR COMBO-JET TIP/CAP ASSY - SR110-015, GREEN</t>
  </si>
  <si>
    <t>40287-02</t>
  </si>
  <si>
    <t>SR COMBO-JET TIP/CAP ASSY - SR110-02, YELLOW</t>
  </si>
  <si>
    <t>40287-025</t>
  </si>
  <si>
    <t>SR COMBO-JET TIP/CAP ASSY - SR110-025, PURPLE</t>
  </si>
  <si>
    <t>40287-03</t>
  </si>
  <si>
    <t>SR COMBO-JET TIP/CAP ASSY - SR110-03, BLUE</t>
  </si>
  <si>
    <t>40287-04</t>
  </si>
  <si>
    <t>SR COMBO-JET TIP/CAP ASSY - SR110-04, RED</t>
  </si>
  <si>
    <t>40287-05</t>
  </si>
  <si>
    <t>SR COMBO-JET TIP/CAP ASSY - SR110-05, BROWN</t>
  </si>
  <si>
    <t>40287-06</t>
  </si>
  <si>
    <t>SR COMBO-JET TIP/CAP ASSY - SR110-06, GREY</t>
  </si>
  <si>
    <t>40287-08</t>
  </si>
  <si>
    <t>SR COMBO-JET TIP/CAP ASSY - SR110-08, WHITE</t>
  </si>
  <si>
    <t>40287-10</t>
  </si>
  <si>
    <t>SR COMBO-JET TIP/CAP ASSY - SR110-10, LT BLUE</t>
  </si>
  <si>
    <t>40287-125</t>
  </si>
  <si>
    <t>SR COMBO-JET HV TIP/CAP ASSY - SR110-125, TEAL</t>
  </si>
  <si>
    <t>40287-15</t>
  </si>
  <si>
    <t>SR COMBO-JET HV TIP/CAP ASSY - SR110-15, LT GREEN</t>
  </si>
  <si>
    <t>40287-20</t>
  </si>
  <si>
    <t>SR COMBO-JET HV TIP/CAP ASSY - SR110-20, TAN</t>
  </si>
  <si>
    <t>40287-25</t>
  </si>
  <si>
    <t>SR COMBO-JET HV TIP/CAP ASSY - SR110-25, BLACK</t>
  </si>
  <si>
    <t>40288-01</t>
  </si>
  <si>
    <t>SR COMBO-JET TIP/CAP ASSY - SR80-01, ORANGE</t>
  </si>
  <si>
    <t>40288-015</t>
  </si>
  <si>
    <t>SR COMBO-JET TIP/CAP ASSY - SR80-015, GREEN</t>
  </si>
  <si>
    <t>40288-02</t>
  </si>
  <si>
    <t>SR COMBO-JET TIP/CAP ASSY - SR80-02, YELLOW</t>
  </si>
  <si>
    <t>40288-025</t>
  </si>
  <si>
    <t>SR COMBO-JET TIP/CAP ASSY - SR80-025, PURPLE</t>
  </si>
  <si>
    <t>40288-03</t>
  </si>
  <si>
    <t>SR COMBO-JET TIP/CAP ASSY - SR80-03, BLUE</t>
  </si>
  <si>
    <t>40288-04</t>
  </si>
  <si>
    <t>SR COMBO-JET TIP/CAP ASSY - SR80-04, RED</t>
  </si>
  <si>
    <t>40288-05</t>
  </si>
  <si>
    <t>SR COMBO-JET TIP/CAP ASSY - SR80-05, BROWN</t>
  </si>
  <si>
    <t>40288-06</t>
  </si>
  <si>
    <t>SR COMBO-JET TIP/CAP ASSY - SR80-06, GREY</t>
  </si>
  <si>
    <t>40288-08</t>
  </si>
  <si>
    <t>SR COMBO-JET TIP/CAP ASSY - SR80-08, WHITE</t>
  </si>
  <si>
    <t>40288-10</t>
  </si>
  <si>
    <t>SR COMBO-JET TIP/CAP ASSY - SR80-10, LT BLUE</t>
  </si>
  <si>
    <t>40288-125</t>
  </si>
  <si>
    <t>SR COMBO-JET TIP/CAP ASSY - SR80-125, TEAL</t>
  </si>
  <si>
    <t>40288-15</t>
  </si>
  <si>
    <t>SR COMBO-JET TIP/CAP ASSY - SR80-15, LT GREEN</t>
  </si>
  <si>
    <t>40288-20</t>
  </si>
  <si>
    <t xml:space="preserve">SR COMBO-JET TIP/CAP ASSY - SR80-20, TAN </t>
  </si>
  <si>
    <t>40288-25</t>
  </si>
  <si>
    <t>SR COMBO-JET TIP/CAP ASSY - SR80-25, BLACK</t>
  </si>
  <si>
    <t>40288-30</t>
  </si>
  <si>
    <t>SR COMBO-JET TIP/CAP ASSY - SR80-30, BLACK</t>
  </si>
  <si>
    <t>40288-40</t>
  </si>
  <si>
    <t>SR COMBO-JET TIP/CAP ASSY - SR80-40, BLACK</t>
  </si>
  <si>
    <t>40288-50</t>
  </si>
  <si>
    <t>SR COMBO-JET TIP/CAP ASSY - SR80-50, BLACK</t>
  </si>
  <si>
    <t>40290-005</t>
  </si>
  <si>
    <t>MR COMBO-JET TIP/CAP ASSY - MR80-005, BLACK</t>
  </si>
  <si>
    <t>40290-007</t>
  </si>
  <si>
    <t>MR COMBO-JET TIP/CAP ASSY - MR80-0067, PINK</t>
  </si>
  <si>
    <t>40290-01</t>
  </si>
  <si>
    <t>MR COMBO-JET TIP/CAP ASSY - MR80-01, ORANGE</t>
  </si>
  <si>
    <t>40290-015</t>
  </si>
  <si>
    <t>MR COMBO-JET TIP/CAP ASSY - MR80-015, GREEN</t>
  </si>
  <si>
    <t>40290-02</t>
  </si>
  <si>
    <t>MR COMBO-JET TIP/CAP ASSY - MR80-02, YELLOW</t>
  </si>
  <si>
    <t>40290-025</t>
  </si>
  <si>
    <t>MR COMBO-JET TIP/CAP ASSY - MR80-025, PURPLE</t>
  </si>
  <si>
    <t>40290-03</t>
  </si>
  <si>
    <t>MR COMBO-JET TIP/CAP ASSY - MR80-03, BLUE</t>
  </si>
  <si>
    <t>40290-04</t>
  </si>
  <si>
    <t>MR COMBO-JET TIP/CAP ASSY - MR80-04, RED</t>
  </si>
  <si>
    <t>40290-05</t>
  </si>
  <si>
    <t>MR COMBO-JET TIP/CAP ASSY - MR80-05, BROWN</t>
  </si>
  <si>
    <t>40290-06</t>
  </si>
  <si>
    <t>MR COMBO-JET TIP/CAP ASSY - MR80-06, GREY</t>
  </si>
  <si>
    <t>40290-08</t>
  </si>
  <si>
    <t>MR COMBO-JET TIP/CAP ASSY - MR80-08, WHITE</t>
  </si>
  <si>
    <t>40290-10</t>
  </si>
  <si>
    <t>MR COMBO-JET TIP/CAP ASSY - MR80-10, LT BLUE</t>
  </si>
  <si>
    <t>40290-125</t>
  </si>
  <si>
    <t>MR COMBO-JET TIP/CAP ASSY - MR80-125, TEAL</t>
  </si>
  <si>
    <t>40290-15</t>
  </si>
  <si>
    <t>MR COMBO-JET TIP/CAP ASSY - MR80-15, LT GREEN</t>
  </si>
  <si>
    <t>40290-20</t>
  </si>
  <si>
    <t xml:space="preserve">MR COMBO-JET TIP/CAP ASSY - MR80-20, TAN </t>
  </si>
  <si>
    <t>40290-25</t>
  </si>
  <si>
    <t>MR COMBO-JET TIP/CAP ASSY - MR80-25, BLACK</t>
  </si>
  <si>
    <t>40290-30</t>
  </si>
  <si>
    <t>MR COMBO-JET TIP/CAP ASSY - MR80-30, BLACK</t>
  </si>
  <si>
    <t>40290-40</t>
  </si>
  <si>
    <t>MR COMBO-JET TIP/CAP ASSY - MR80-40, BLACK</t>
  </si>
  <si>
    <t>40290-50</t>
  </si>
  <si>
    <t>MR COMBO-JET TIP/CAP ASSY - MR80-50, BLACK</t>
  </si>
  <si>
    <t>40291-015</t>
  </si>
  <si>
    <t>MR COMBO-JET TIP/CAP ASSY - MR110-015, GREEN</t>
  </si>
  <si>
    <t>40291-02</t>
  </si>
  <si>
    <t>MR COMBO-JET TIP/CAP ASSY - MR110-02, YELLOW</t>
  </si>
  <si>
    <t>40291-025</t>
  </si>
  <si>
    <t>MR COMBO-JET TIP/CAP ASSY - MR110-025, PURPLE</t>
  </si>
  <si>
    <t>40291-03</t>
  </si>
  <si>
    <t>MR COMBO-JET TIP/CAP ASSY - MR110-03, BLUE</t>
  </si>
  <si>
    <t>40291-04</t>
  </si>
  <si>
    <t>MR COMBO-JET TIP/CAP ASSY - MR110-04, RED</t>
  </si>
  <si>
    <t>40291-05</t>
  </si>
  <si>
    <t>MR COMBO-JET TIP/CAP ASSY - MR110-05, BROWN</t>
  </si>
  <si>
    <t>40291-06</t>
  </si>
  <si>
    <t>MR COMBO-JET TIP/CAP ASSY - MR110-06, GREY</t>
  </si>
  <si>
    <t>40291-08</t>
  </si>
  <si>
    <t>MR COMBO-JET TIP/CAP ASSY - MR110-08, WHITE</t>
  </si>
  <si>
    <t>40291-10</t>
  </si>
  <si>
    <t>MR COMBO-JET TIP/CAP ASSY - MR110-10, LT BLUE</t>
  </si>
  <si>
    <t>40291-125</t>
  </si>
  <si>
    <t>MR COMBO-JET TIP/CAP ASSY - MR110-125, TEAL</t>
  </si>
  <si>
    <t>40291-15</t>
  </si>
  <si>
    <t>MR COMBO-JET TIP/CAP ASSY - MR110-15, LT GREEN</t>
  </si>
  <si>
    <t>40291-20</t>
  </si>
  <si>
    <t>MR HV COMBO-JET TIP/CAP ASSY - MR110-20, TAN</t>
  </si>
  <si>
    <t>40292-025</t>
  </si>
  <si>
    <t>UR COMBO-JET TIP/CAP ASSY -UR110-025, PURPLE</t>
  </si>
  <si>
    <t>40292-03</t>
  </si>
  <si>
    <t>UR COMBO-JET TIP/CAP ASSY -UR110-03, BLUE</t>
  </si>
  <si>
    <t>40292-04</t>
  </si>
  <si>
    <t>UR COMBO-JET TIP/CAP ASSY -UR110-04, RED</t>
  </si>
  <si>
    <t>40292-05</t>
  </si>
  <si>
    <t>UR COMBO-JET TIP/CAP ASSY - UR110-05, BROWN</t>
  </si>
  <si>
    <t>40292-06</t>
  </si>
  <si>
    <t>UR COMBO-JET TIP/CAP ASSY - UR110-06, GREY</t>
  </si>
  <si>
    <t>40292-08</t>
  </si>
  <si>
    <t>UR COMBO-JET TIP/CAP ASSY - UR110-08, WHITE</t>
  </si>
  <si>
    <t>40292-10</t>
  </si>
  <si>
    <t>UR COMBO-JET TIP/CAP ASSY - UR110-10, LT BLUE</t>
  </si>
  <si>
    <t>40292-21</t>
  </si>
  <si>
    <t>UR DUAL ORIFICE  -R025, PURPLE</t>
  </si>
  <si>
    <t>40292-22</t>
  </si>
  <si>
    <t>UR DUAL ORIFICE  -R03, BLUE</t>
  </si>
  <si>
    <t>40292-24</t>
  </si>
  <si>
    <t>UR DUAL ORIFICE  -R04, RED</t>
  </si>
  <si>
    <t>40292-25</t>
  </si>
  <si>
    <t>UR DUAL ORIFICE  -R05 BROWN</t>
  </si>
  <si>
    <t>40292-26</t>
  </si>
  <si>
    <t>UR DUAL ORIFICE  -R06, GREY</t>
  </si>
  <si>
    <t>40292-28</t>
  </si>
  <si>
    <t>UR DUAL ORIFICE  -R008, WHITE</t>
  </si>
  <si>
    <t>40292-30</t>
  </si>
  <si>
    <t>UR DUAL ORIFICE  -R10, LT BLUE</t>
  </si>
  <si>
    <t>40293-00</t>
  </si>
  <si>
    <t>DRY BOOM CONVERSION ASSY.,TRIPLE COMBO-JET,3/4" ONE WAY</t>
  </si>
  <si>
    <t>40294-00</t>
  </si>
  <si>
    <t>DRY BOOM CONVERSION ASSY.,TRIPLE COMBO-JET,3/4" TWO WAY</t>
  </si>
  <si>
    <t>40301-00</t>
  </si>
  <si>
    <t>HOSE SHANK ADAPTER-3/8" ONE WAY</t>
  </si>
  <si>
    <t>40302-00</t>
  </si>
  <si>
    <t>HOSE SHANK ADAPTER-3/8" TWO WAY</t>
  </si>
  <si>
    <t>40306-00</t>
  </si>
  <si>
    <t>HOSE SHANK ADAPTER-1/2" ONE WAY</t>
  </si>
  <si>
    <t>40307-00</t>
  </si>
  <si>
    <t>HOSE SHANK ADAPTER-1/2" TWO WAY</t>
  </si>
  <si>
    <t>40311-00</t>
  </si>
  <si>
    <t>HOSE SHANK ADAPTER-3/4" ONE WAY</t>
  </si>
  <si>
    <t>40312-00</t>
  </si>
  <si>
    <t>HOSE SHANK ADAPTER-3/4" TWO WAY</t>
  </si>
  <si>
    <t>40313-00</t>
  </si>
  <si>
    <t>HOSE SHANK ADAPTER-3/4" THREE WAY</t>
  </si>
  <si>
    <t>40320-00</t>
  </si>
  <si>
    <t>SQ. MOUNT DRY BOOM CLAMP ASSY- 1/2" PIPE</t>
  </si>
  <si>
    <t>40320-01</t>
  </si>
  <si>
    <t>SQ. MOUNT DRY BOOM MAIN CLAMP - 1/2" PIPE</t>
  </si>
  <si>
    <t>40320-02</t>
  </si>
  <si>
    <t>CLAMP LOCK STRAP - 1/2" PIPE</t>
  </si>
  <si>
    <t>40320-03</t>
  </si>
  <si>
    <t>SCREW, 1/4-20NC x 1/2" HEX/SLOT WASHER HEAD SS</t>
  </si>
  <si>
    <t>40320-04</t>
  </si>
  <si>
    <t>SQ. MOUNT DRY BOOM MAIN CLAMP - 1/2" PIPE SS</t>
  </si>
  <si>
    <t>40320-05</t>
  </si>
  <si>
    <t>CLAMP LOCK STRAP - 1/2" PIPE SS</t>
  </si>
  <si>
    <t>40320-SS</t>
  </si>
  <si>
    <t>SQ. MOUNT DRY BOOM CLAMP ASSY- 1/2" PIPE SS</t>
  </si>
  <si>
    <t>40321-00</t>
  </si>
  <si>
    <t>SQ. MOUNT DRY BOOM CLAMP ASSY- 3/4" PIPE</t>
  </si>
  <si>
    <t>40321-01</t>
  </si>
  <si>
    <t>SQ. MOUNT DRY BOOM MAIN CLAMP - 3/4" PIPE</t>
  </si>
  <si>
    <t>40321-02</t>
  </si>
  <si>
    <t>CLAMP LOCK STRAP - 3/4" PIPE</t>
  </si>
  <si>
    <t>40321-04</t>
  </si>
  <si>
    <t>SQ. MOUNT DRY BOOM MAIN CLAMP - 3/4" PIPE SS</t>
  </si>
  <si>
    <t>40321-05</t>
  </si>
  <si>
    <t>CLAMP LOCK STRAP - 3/4" PIPE SS</t>
  </si>
  <si>
    <t>40321-SS</t>
  </si>
  <si>
    <t>SQ. MOUNT DRY BOOM CLAMP ASSY- 3/4" PIPE SS</t>
  </si>
  <si>
    <t>40322-00</t>
  </si>
  <si>
    <t>SQ. MOUNT DRY BOOM CLAMP ASSY- 1" PIPE</t>
  </si>
  <si>
    <t>40322-01</t>
  </si>
  <si>
    <t>SQ. MOUNT DRY BOOM MAIN CLAMP - 1" PIPE</t>
  </si>
  <si>
    <t>40322-02</t>
  </si>
  <si>
    <t>CLAMP LOCK STRAP - 1" PIPE</t>
  </si>
  <si>
    <t>40322-04</t>
  </si>
  <si>
    <t>SQ. MOUNT DRY BOOM MAIN CLAMP - 1" PIPE SS</t>
  </si>
  <si>
    <t>40322-05</t>
  </si>
  <si>
    <t>CLAMP LOCK STRAP - 1" PIPE SS</t>
  </si>
  <si>
    <t>40322-SS</t>
  </si>
  <si>
    <t>SQ. MOUNT DRY BOOM CLAMP ASSY- 1" PIPE SS</t>
  </si>
  <si>
    <t>40325-00</t>
  </si>
  <si>
    <t>SQ. MOUNT DRY BOOM CLAMP ASSY- 3/4" SQ. TUBE</t>
  </si>
  <si>
    <t>40325-01</t>
  </si>
  <si>
    <t>SQ. MOUNT DRY BOOM MAIN CLAMP - 3/4" SQ. TUBE</t>
  </si>
  <si>
    <t>40325-02</t>
  </si>
  <si>
    <t>CLAMP LOCK STRAP - 3/4" SQ. TUBE</t>
  </si>
  <si>
    <t>40325-04</t>
  </si>
  <si>
    <t>SQ. MOUNT DRY BOOM MAIN CLAMP - 3/4" SQ. TUBE SS</t>
  </si>
  <si>
    <t>40325-05</t>
  </si>
  <si>
    <t>CLAMP LOCK STRAP - 3/4" SQ. TUBE SS</t>
  </si>
  <si>
    <t>40325-SS</t>
  </si>
  <si>
    <t>SQ. MOUNT DRY BOOM CLAMP ASSY- 3/4" SQ. TUBE SS</t>
  </si>
  <si>
    <t>40326-00</t>
  </si>
  <si>
    <t>SQ. MOUNT DRY BOOM CLAMP ASSY-1" SQ. TUBE</t>
  </si>
  <si>
    <t>40326-01</t>
  </si>
  <si>
    <t>SQ. MOUNT DRY BOOM MAIN CLAMP - 1" SQ. TUBE</t>
  </si>
  <si>
    <t>40326-02</t>
  </si>
  <si>
    <t>CLAMP LOCK STRAP - 1" SQ. TUBE</t>
  </si>
  <si>
    <t>40326-04</t>
  </si>
  <si>
    <t>SQ. MOUNT DRY BOOM MAIN CLAMP - 1" SQ. TUBE SS</t>
  </si>
  <si>
    <t>40326-05</t>
  </si>
  <si>
    <t>CLAMP LOCK STRAP - 1" SQ. TUBE SS</t>
  </si>
  <si>
    <t>40326-SS</t>
  </si>
  <si>
    <t>SQ. MOUNT DRY BOOM CLAMP ASSY-1" SQ. TUBE SS</t>
  </si>
  <si>
    <t>40327-00</t>
  </si>
  <si>
    <t>SQ. MOUNT DRY BOOM CLAMP ASSY- 1 1/4" SQ. TUBE</t>
  </si>
  <si>
    <t>40327-01</t>
  </si>
  <si>
    <t>SQ. MOUNT DRY BOOM MAIN CLAMP - 1  1/4" SQ. TUBE</t>
  </si>
  <si>
    <t>40327-02</t>
  </si>
  <si>
    <t>CLAMP LOCK STRAP - 1 1/4" SQ. TUBE</t>
  </si>
  <si>
    <t>40327-04</t>
  </si>
  <si>
    <t>SQ. MOUNT DRY BOOM MAIN CLAMP - 1  1/4" SQ. TUBE SS</t>
  </si>
  <si>
    <t>40327-05</t>
  </si>
  <si>
    <t>CLAMP LOCK STRAP - 1 1/4" SQ. TUBE SS</t>
  </si>
  <si>
    <t>40327-SS</t>
  </si>
  <si>
    <t>SQ. MOUNT DRY BOOM CLAMP ASSY- 1 1/4" SQ. TUBE SS</t>
  </si>
  <si>
    <t>40328-00</t>
  </si>
  <si>
    <t>SQ. MOUNT DRY BOOM CLAMP ASSY- 1 1/2" SQ. TUBE</t>
  </si>
  <si>
    <t>40328-01</t>
  </si>
  <si>
    <t>SQ. MOUNT DRY BOOM MAIN CLAMP - 1 1/2" SQ. TUBE</t>
  </si>
  <si>
    <t>40328-02</t>
  </si>
  <si>
    <t>CLAMP LOCK STRAP - 1 1/2" SQ. TUBE</t>
  </si>
  <si>
    <t>40328-04</t>
  </si>
  <si>
    <t>SQ. MOUNT DRY BOOM MAIN CLAMP - 1 1/2" SQ. TUBE SS</t>
  </si>
  <si>
    <t>40328-05</t>
  </si>
  <si>
    <t>CLAMP LOCK STRAP - 1 1/2" SQ. TUBE SS</t>
  </si>
  <si>
    <t>40328-SS</t>
  </si>
  <si>
    <t>SQ. MOUNT DRY BOOM CLAMP ASSY- 1 1/2" SQ. TUBE SS</t>
  </si>
  <si>
    <t>40330-00</t>
  </si>
  <si>
    <t>SQ. MOUNT DRY BOOM CLAMP ASSY- 2" SQ. TUBE</t>
  </si>
  <si>
    <t>40330-01</t>
  </si>
  <si>
    <t>SQ. MOUNT DRY BOOM MAIN CLAMP - 2" SQ. TUBE</t>
  </si>
  <si>
    <t>40330-02</t>
  </si>
  <si>
    <t>CLAMP LOCK STRAP - 2" SQ. TUBE</t>
  </si>
  <si>
    <t>40330-04</t>
  </si>
  <si>
    <t>SQ. MOUNT DRY BOOM MAIN CLAMP - 2" SQ. TUBE SS</t>
  </si>
  <si>
    <t>40330-05</t>
  </si>
  <si>
    <t>CLAMP LOCK STRAP - 2" SQ. TUBE SS</t>
  </si>
  <si>
    <t>40330-SS</t>
  </si>
  <si>
    <t>SQ. MOUNT DRY BOOM CLAMP ASSY- 2" SQ. TUBE SS</t>
  </si>
  <si>
    <t>40341-00</t>
  </si>
  <si>
    <t>SQ. MT. HIGH REACH DB CLAMP ASSY- 3/4" to 1 1/4" SQ. TUBE</t>
  </si>
  <si>
    <t>40341-01</t>
  </si>
  <si>
    <t>SQ. MT. HIGH REACH DB MAIN CLAMP- 3/4" to 1 1/4" SQ. TUBE</t>
  </si>
  <si>
    <t>40341-02</t>
  </si>
  <si>
    <t>CLAMP LOCK STRAP - 3/4" to 1 1/4" SQ. TUBE</t>
  </si>
  <si>
    <t>40341-03</t>
  </si>
  <si>
    <t>SCREW, 1/4-20NC x 1" HEX/SLOT WASHER HEAD SS</t>
  </si>
  <si>
    <t>40341-04</t>
  </si>
  <si>
    <t>LOCK CLIP - DRY BOOM CLAMP</t>
  </si>
  <si>
    <t>40341-05</t>
  </si>
  <si>
    <t>SQ. MT. HIGH REACH DB MAIN CLAMP- 3/4" to 1 1/4" SQ. TUBE SS</t>
  </si>
  <si>
    <t>40341-06</t>
  </si>
  <si>
    <t>CLAMP LOCK STRAP - 3/4" to 1 1/4" SQ. TUBE SS</t>
  </si>
  <si>
    <t>40341-SS</t>
  </si>
  <si>
    <t>SQ. MT. HIGH REACH DB CLAMP ASSY- 3/4" to 1 1/4" SQ. TUBE SS</t>
  </si>
  <si>
    <t>40342-00</t>
  </si>
  <si>
    <t>SQ. MT. HIGH REACH DB CLAMP ASSY- 1 1/2" to 2" SQ. TUBE</t>
  </si>
  <si>
    <t>40342-01</t>
  </si>
  <si>
    <t>SQ. MT. HIGH REACH DB MAIN CLAMP- 1 1/2" to 2" SQ. TUBE</t>
  </si>
  <si>
    <t>40342-02</t>
  </si>
  <si>
    <t>CLAMP LOCK STRAP - 1 1/2" to 2" SQ. TUBE</t>
  </si>
  <si>
    <t>40342-05</t>
  </si>
  <si>
    <t>SQ. MT. HIGH REACH DB MAIN CLAMP- 1 1/2" to 2" SQ. TUBE SS</t>
  </si>
  <si>
    <t>40342-06</t>
  </si>
  <si>
    <t>CLAMP LOCK STRAP - 1 1/2" to 2" SQ. TUBE SS</t>
  </si>
  <si>
    <t>40342-SS</t>
  </si>
  <si>
    <t>SQ. MT. HIGH REACH DB CLAMP ASSY- 1 1/2" to 2" SQ. TUBE SS</t>
  </si>
  <si>
    <t>40343-00</t>
  </si>
  <si>
    <t>SQ. MT. EXTRA HIGH REACH DB CLAMP ASSY-(HAHN)</t>
  </si>
  <si>
    <t>40343-01</t>
  </si>
  <si>
    <t>SQ. MT. EXTRA HIGH REACH DB MAIN CLAMP -(HAHN)</t>
  </si>
  <si>
    <t>40343-02</t>
  </si>
  <si>
    <t>CLAMP LOCK STRAP</t>
  </si>
  <si>
    <t>40343-03</t>
  </si>
  <si>
    <t>BODY LOCK STRAP</t>
  </si>
  <si>
    <t>40343-SS</t>
  </si>
  <si>
    <t>SQ. MT. EXTRA HIGH REACH DB CLAMP ASSY, SS</t>
  </si>
  <si>
    <t>40352-00</t>
  </si>
  <si>
    <t>COMBO-JET SQ. MT. DRY BOOM BODY ASSY.-SINGLE with DIAPHRAGM</t>
  </si>
  <si>
    <t>40352-01</t>
  </si>
  <si>
    <t>COMBO-JET SQ. MT. DRY BOOM BODY -SINGLE , DIAPHRAGM  TYPE</t>
  </si>
  <si>
    <t>40352-P4</t>
  </si>
  <si>
    <t>COMBO-JET SQ. MT. DRY BOOM BODY ASSY.-SINGLE with DIAPHRAGM, 4PSI CHECK VALVE</t>
  </si>
  <si>
    <t>40353-00</t>
  </si>
  <si>
    <t>COMBO-JET SQ. MT. DRY BOOM BODY ASSY.-DOUBLE with DIAPHRAGM</t>
  </si>
  <si>
    <t>40353-01</t>
  </si>
  <si>
    <t>COMBO-JET SQ. MT. DRY BOOM MAIN BODY -DOUBLE , DIAPHRAGM  TYPE</t>
  </si>
  <si>
    <t>40354-00</t>
  </si>
  <si>
    <t>COMBO-JET SQ. MT. DRY BOOM BODY ASSY.-TRIPLE with DIAPHRAGM</t>
  </si>
  <si>
    <t>40354-01</t>
  </si>
  <si>
    <t>COMBO-JET SQ. MT. DRY BOOM MAIN BODY -TRIPLE , DIAPHRAGM  TYPE</t>
  </si>
  <si>
    <t>40360-00</t>
  </si>
  <si>
    <t>COMPACT DIAPHRAGM BODY ASSY.,11/16 THREAD MT.,3/8" ONE WAY LEFT</t>
  </si>
  <si>
    <t>40360-01</t>
  </si>
  <si>
    <t>COMPACT DIAPHRAGM BODY,11/16 THREAD MT.,3/8" ONE WAY LEFT</t>
  </si>
  <si>
    <t>40361-00</t>
  </si>
  <si>
    <t>COMPACT DIAPHRAGM BODY ASSY.,11/16 THREAD MT.,3/8" ONE WAY RIGHT</t>
  </si>
  <si>
    <t>40361-01</t>
  </si>
  <si>
    <t>COMPACT DIAPHRAGM BODY,11/16 THREAD MT.,3/8" ONE WAY RIGHT</t>
  </si>
  <si>
    <t>40362-00</t>
  </si>
  <si>
    <t>COMPACT DIAPHRAGM BODY ASSY.,11/16 THREAD MT.,3/8" TWO WAY</t>
  </si>
  <si>
    <t>40362-01</t>
  </si>
  <si>
    <t>COMPACT DIAPHRAGM BODY,11/16 THREAD MT.,3/8" TWO WAY</t>
  </si>
  <si>
    <t>40365-00</t>
  </si>
  <si>
    <t>COMPACT DIAPHRAGM BODY ASSY.,11/16 THREAD MT.,1/2" ONE WAY LEFT</t>
  </si>
  <si>
    <t>40365-01</t>
  </si>
  <si>
    <t>COMPACT DIAPHRAGM BODY,11/16 THREAD MT.,1/2" ONE WAY LEFT</t>
  </si>
  <si>
    <t>40366-00</t>
  </si>
  <si>
    <t>COMPACT DIAPHRAGM BODY ASSY.,11/16 THREAD MT.,1/2" ONE WAY RIGHT</t>
  </si>
  <si>
    <t>40366-01</t>
  </si>
  <si>
    <t>COMPACT DIAPHRAGM BODY,11/16 THREAD MT.,1/2" ONE WAY RIGHT</t>
  </si>
  <si>
    <t>40367-00</t>
  </si>
  <si>
    <t>COMPACT DIAPHRAGM BODY ASSY.,11/16 THREAD MT.,1/2" TWO WAY</t>
  </si>
  <si>
    <t>40367-01</t>
  </si>
  <si>
    <t>COMPACT DIAPHRAGM BODY,11/16 THREAD MT.,1/2" TWO WAY</t>
  </si>
  <si>
    <t>40370-00</t>
  </si>
  <si>
    <t>COMPACT DIAPHRAGM BODY ASSY.,11/16 THREAD MT.,3/4" ONE WAY LEFT</t>
  </si>
  <si>
    <t>40370-01</t>
  </si>
  <si>
    <t>COMPACT DIAPHRAGM BODY,11/16 THREAD MT.,3/4" ONE WAY LEFT</t>
  </si>
  <si>
    <t>40371-00</t>
  </si>
  <si>
    <t>COMPACT DIAPHRAGM BODY ASSY.,11/16 THREAD MT.,3/4" ONE WAY RIGHT</t>
  </si>
  <si>
    <t>40371-01</t>
  </si>
  <si>
    <t>COMPACT DIAPHRAGM BODY,11/16 THREAD MT.,3/4" ONE WAY RIGHT</t>
  </si>
  <si>
    <t>40372-00</t>
  </si>
  <si>
    <t>COMPACT DIAPHRAGM BODY ASSY.,11/16 THREAD MT.,3/4" TWO WAY</t>
  </si>
  <si>
    <t>40372-01</t>
  </si>
  <si>
    <t>COMPACT DIAPHRAGM BODY,11/16 THREAD MT.,3/4" TWO WAY</t>
  </si>
  <si>
    <t>40380-00</t>
  </si>
  <si>
    <t>COMPACT DIAPHRAGM BODY ASSY.,SQ. MT.,3/8" ONE WAY LEFT</t>
  </si>
  <si>
    <t>40380-01</t>
  </si>
  <si>
    <t>COMPACT DIAPHRAGM BODY,SQ. MT.,3/8" ONE WAY LEFT</t>
  </si>
  <si>
    <t>40381-00</t>
  </si>
  <si>
    <t>COMPACT DIAPHRAGM BODY ASSY.,SQ. MT.,3/8" ONE WAY RIGHT</t>
  </si>
  <si>
    <t>40381-01</t>
  </si>
  <si>
    <t>COMPACT DIAPHRAGM BODY,SQ. MT.,3/8" ONE WAY RIGHT</t>
  </si>
  <si>
    <t>40382-00</t>
  </si>
  <si>
    <t>COMPACT DIAPHRAGM BODY ASSY.,SQ. MT.,3/8" TWO WAY</t>
  </si>
  <si>
    <t>40382-01</t>
  </si>
  <si>
    <t>COMPACT DIAPHRAGM BODY, SQ. MT.,3/8" TWO WAY</t>
  </si>
  <si>
    <t>40383-00</t>
  </si>
  <si>
    <t>COMPACT DIAPHRAGM BODY ASSY.,SQ. MT.,3/8" THREE WAY</t>
  </si>
  <si>
    <t>40383-01</t>
  </si>
  <si>
    <t>COMPACT DIAPHRAGM BODY, SQ. MT.,3/8" THREE WAY</t>
  </si>
  <si>
    <t>40385-00</t>
  </si>
  <si>
    <t>COMPACT DIAPHRAGM BODY ASSY.,SQ. MT.,1/2" ONE WAY LEFT</t>
  </si>
  <si>
    <t>40385-01</t>
  </si>
  <si>
    <t>COMPACT DIAPHRAGM BODY,SQ. MT.,1/2" ONE WAY LEFT</t>
  </si>
  <si>
    <t>40386-00</t>
  </si>
  <si>
    <t>COMPACT DIAPHRAGM BODY ASSY.,SQ. MT.,1/2" ONE WAY RIGHT</t>
  </si>
  <si>
    <t>40386-01</t>
  </si>
  <si>
    <t>COMPACT DIAPHRAGM BODY,SQ. MT.,1/2" ONE WAY RIGHT</t>
  </si>
  <si>
    <t>40387-00</t>
  </si>
  <si>
    <t>COMPACT DIAPHRAGM BODY ASSY.,SQ. MT.,1/2" TWO WAY</t>
  </si>
  <si>
    <t>40387-01</t>
  </si>
  <si>
    <t>COMPACT DIAPHRAGM BODY,SQ. MT.,1/2" TWO WAY</t>
  </si>
  <si>
    <t>40388-00</t>
  </si>
  <si>
    <t>COMPACT DIAPHRAGM BODY ASSY.,SQ. MT.,1/2" THREE WAY</t>
  </si>
  <si>
    <t>40388-01</t>
  </si>
  <si>
    <t>COMPACT DIAPHRAGM BODY,SQ. MT.,1/2" THREE WAY</t>
  </si>
  <si>
    <t>40390-00</t>
  </si>
  <si>
    <t>COMPACT DIAPHRAGM BODY ASSY.,SQ. MT.,3/4" ONE WAY LEFT</t>
  </si>
  <si>
    <t>40390-01</t>
  </si>
  <si>
    <t>COMPACT DIAPHRAGM BODY,SQ. MT.,3/4" ONE WAY LEFT</t>
  </si>
  <si>
    <t>40391-00</t>
  </si>
  <si>
    <t>COMPACT DIAPHRAGM BODY ASSY.,SQ. MT.,3/4" ONE WAY RIGHT</t>
  </si>
  <si>
    <t>40391-01</t>
  </si>
  <si>
    <t>COMPACT DIAPHRAGM BODY,SQ. MT.,3/4" ONE WAY RIGHT</t>
  </si>
  <si>
    <t>40392-00</t>
  </si>
  <si>
    <t>COMPACT DIAPHRAGM BODY ASSY.,SQ. MT.,3/4" TWO WAY</t>
  </si>
  <si>
    <t>40392-01</t>
  </si>
  <si>
    <t>COMPACT DIAPHRAGM BODY,SQ. MT.,3/4" TWO WAY</t>
  </si>
  <si>
    <t>40406-00</t>
  </si>
  <si>
    <t>COMPACT BODY,SQ. MT.,1/2" ONE WAY</t>
  </si>
  <si>
    <t>40407-00</t>
  </si>
  <si>
    <t>COMPACT BODY,SQ. MT.,1/2" TWO WAY</t>
  </si>
  <si>
    <t>40420-05</t>
  </si>
  <si>
    <t>RADIALOCK HOSE BARB CAP, 1/8", BLACK</t>
  </si>
  <si>
    <t>40420-B5</t>
  </si>
  <si>
    <t>40420-V5</t>
  </si>
  <si>
    <t>CAP ASSY, 1/8" HOSE BARB, BLACK,W/ ADAPTER AND VITON®  O-RING</t>
  </si>
  <si>
    <t>40422-05</t>
  </si>
  <si>
    <t>RADIALOCK HOSE BARB CAP, 1/4" BLACK</t>
  </si>
  <si>
    <t>40422-B5</t>
  </si>
  <si>
    <t>40422-V5</t>
  </si>
  <si>
    <t>CAP ASSY, 1/4" HOSE BARB, BLACK,W/ ADAPTER AND VITON®  O-RING</t>
  </si>
  <si>
    <t>40424-05</t>
  </si>
  <si>
    <t>RADIALOCK HOSE BARB CAP, 3/8" BLACK</t>
  </si>
  <si>
    <t>40424-B5</t>
  </si>
  <si>
    <t>40424-V5</t>
  </si>
  <si>
    <t>CAP ASSY, 3/8" HOSE BARB, BLACK,W/ ADAPTER AND VITON®  O-RING</t>
  </si>
  <si>
    <t>40426-05</t>
  </si>
  <si>
    <t>RADIALOCK HOSE BARB CAP, 1/2" BLACK</t>
  </si>
  <si>
    <t>40426-B5</t>
  </si>
  <si>
    <t>40426-V5</t>
  </si>
  <si>
    <t>CAP ASSY, 1/2" HOSE BARB, BLACK,W/ ADAPTER AND VITON®  O-RING</t>
  </si>
  <si>
    <t>40430-01</t>
  </si>
  <si>
    <t>RL FERTILIZER NOZZLE CAP BLANK - BLACK</t>
  </si>
  <si>
    <t>40430-09</t>
  </si>
  <si>
    <t>RL FERTILIZER NOZZLE CAP BLANK - GREY</t>
  </si>
  <si>
    <t>40432-047</t>
  </si>
  <si>
    <t>RL FERTILIZER NOZZLE, 2-ORIFICE@0.0469</t>
  </si>
  <si>
    <t>40432-086</t>
  </si>
  <si>
    <t>RL FERTILIZER NOZZLE, 2-ORIFICE@0.086</t>
  </si>
  <si>
    <t>40432-104</t>
  </si>
  <si>
    <t>RL FERTILIZER NOZZLE, 2-ORIFICE@0.104</t>
  </si>
  <si>
    <t>40433-047</t>
  </si>
  <si>
    <t>RL FERTILIZER NOZZLE, 3-ORIFICE@0.0469</t>
  </si>
  <si>
    <t>40433-067</t>
  </si>
  <si>
    <t>RL FERTILIZER NOZZLE, 3-ORIFICE@0.067</t>
  </si>
  <si>
    <t>40433-104</t>
  </si>
  <si>
    <t>RL FERTILIZER NOZZLE, 3-ORIFICE@0.104</t>
  </si>
  <si>
    <t>40435-05</t>
  </si>
  <si>
    <t>RL CAP - 1/4" TUBE PUSH-IN FITTING, BLK</t>
  </si>
  <si>
    <t>40435-15</t>
  </si>
  <si>
    <t>RL CAP - 1/4" TUBE PUSH-IN FITTING ADAPTER BODY - BLACK</t>
  </si>
  <si>
    <t>40435-B5</t>
  </si>
  <si>
    <t>40435-V5</t>
  </si>
  <si>
    <t>RL CAP ASSY- 1/4" TUBE PUSH-IN FITTING ASSY - BLACK,W/ ADAPTER AND VITON®  O-RING</t>
  </si>
  <si>
    <t>40436-05</t>
  </si>
  <si>
    <t>RL CAP - 3/8" TUBE PUSH-IN FITTING, BLK</t>
  </si>
  <si>
    <t>40436-15</t>
  </si>
  <si>
    <t>RL CAP - 3/8" TUBE PUSH-IN FITTING BODY - BLACK</t>
  </si>
  <si>
    <t>40436-B5</t>
  </si>
  <si>
    <t>40436-V5</t>
  </si>
  <si>
    <t>RL CAP ASSY- 3/8" TUBE PUSH-IN FITTING ASSY - BLACK,W/ ADAPTER AND VITON®  O-RING</t>
  </si>
  <si>
    <t>40437-05</t>
  </si>
  <si>
    <t>RL CAP - 5/16" TUBE PUSH-IN FITTING, BLK</t>
  </si>
  <si>
    <t>40437-B5</t>
  </si>
  <si>
    <t>40437-V5</t>
  </si>
  <si>
    <t>RL CAP ASSY- 5/16" TUBE PUSH-IN FITTING ASSY - BLACK,W/ ADAPTER AND VITON®  O-RING</t>
  </si>
  <si>
    <t>40440-00</t>
  </si>
  <si>
    <t>RADIALOCK TWIN CAP ADAPTER ASSY (O-RING incl)</t>
  </si>
  <si>
    <t>40440-01</t>
  </si>
  <si>
    <t>RADIALOCK TWIN CAP ADAPTER BODY</t>
  </si>
  <si>
    <t>40440-V0</t>
  </si>
  <si>
    <t>RADIALOCK TWIN CAP ADAPTER ASSY (VITON®  O-RING incl)</t>
  </si>
  <si>
    <t>40450-00</t>
  </si>
  <si>
    <t>RL HOSE BARB BODY ASSY, SQUARE MOUNT, 3/8" ONE WAY</t>
  </si>
  <si>
    <t>40450-01</t>
  </si>
  <si>
    <t>RL HOSE BARB BODY, SQUARE MOUNT, 3/8" ONE WAY</t>
  </si>
  <si>
    <t>40451-00</t>
  </si>
  <si>
    <t>RL HOSE BARB BODY ASSY, SQUARE MOUNT, 3/8" TWO WAY</t>
  </si>
  <si>
    <t>40451-01</t>
  </si>
  <si>
    <t>RL HOSE BARB BODY, SQUARE MOUNT, 3/8" TWO WAY</t>
  </si>
  <si>
    <t>40452-00</t>
  </si>
  <si>
    <t>RL HOSE BARB BODY ASSY, SQUARE MOUNT, 1/2" ONE WAY</t>
  </si>
  <si>
    <t>40452-01</t>
  </si>
  <si>
    <t>RL HOSE BARB BODY, SQUARE MOUNT, 1/2" ONE WAY</t>
  </si>
  <si>
    <t>40453-00</t>
  </si>
  <si>
    <t>RL HOSE BARB BODY ASSY, SQUARE MOUNT, 1/2" TWO WAY</t>
  </si>
  <si>
    <t>40453-01</t>
  </si>
  <si>
    <t>RL HOSE BARB BODY, SQUARE MOUNT, 1/2" TWO WAY</t>
  </si>
  <si>
    <t>40454-00</t>
  </si>
  <si>
    <t>RL HOSE BARB BODY ASSY, SQUARE MOUNT, 1/4"NPTM x 1/2"HB</t>
  </si>
  <si>
    <t>40454-01</t>
  </si>
  <si>
    <t>RL HOSE BARB BODY, SQUARE MOUNT, 1/4"NPTM x 1/2"HB</t>
  </si>
  <si>
    <t>40460-00</t>
  </si>
  <si>
    <t>RL HOSE BARB BODY ASSY, FLANGE MOUNT, 3/8" ONE WAY</t>
  </si>
  <si>
    <t>40460-01</t>
  </si>
  <si>
    <t>RL HOSE BARB BODY, FLANGE MOUNT, 3/8" ONE WAY</t>
  </si>
  <si>
    <t>40461-00</t>
  </si>
  <si>
    <t>RL HOSE BARB BODY ASSY, FLANGE MOUNT, 3/8" TWO WAY</t>
  </si>
  <si>
    <t>40461-01</t>
  </si>
  <si>
    <t>RL HOSE BARB BODY, FLANGE MOUNT, 3/8" TWO WAY</t>
  </si>
  <si>
    <t>40462-00</t>
  </si>
  <si>
    <t>RL HOSE BARB BODY ASSY, FLANGE MOUNT, 1/2" ONE WAY</t>
  </si>
  <si>
    <t>40462-01</t>
  </si>
  <si>
    <t>RL HOSE BARB BODY, FLANGE MOUNT, 1/2" ONE WAY</t>
  </si>
  <si>
    <t>40463-00</t>
  </si>
  <si>
    <t>RL HOSE BARB BODY ASSY, FLANGE MOUNT, 1/2" TWO WAY</t>
  </si>
  <si>
    <t>40463-01</t>
  </si>
  <si>
    <t>RL HOSE BARB BODY, FLANGE MOUNT, 1/2" TWO WAY</t>
  </si>
  <si>
    <t>40464-00</t>
  </si>
  <si>
    <t>RL HOSE BARB BODY ASSY, FLANGE MOUNT, 1/4"NPTM x 1/2"HB</t>
  </si>
  <si>
    <t>40464-01</t>
  </si>
  <si>
    <t>RL HOSE BARB BODY, FLANGE MOUNT, 1/4"NPTM x 1/2"HB</t>
  </si>
  <si>
    <t>40470-00</t>
  </si>
  <si>
    <t xml:space="preserve">DUAL BODY ADAPTER ASSY - RADIALOCK </t>
  </si>
  <si>
    <t>40470-01</t>
  </si>
  <si>
    <t>DUAL BODY ADAPTER</t>
  </si>
  <si>
    <t>40471-00</t>
  </si>
  <si>
    <t xml:space="preserve">TRIPLE BODY ADAPTER ASSY - RADIALOCK </t>
  </si>
  <si>
    <t>40471-01</t>
  </si>
  <si>
    <t xml:space="preserve">TRIPLE BODY ADAPTER </t>
  </si>
  <si>
    <t>40472-00</t>
  </si>
  <si>
    <t xml:space="preserve">DUAL BODY ADAPTER ASSY - SQ LUG. </t>
  </si>
  <si>
    <t>40473-00</t>
  </si>
  <si>
    <t xml:space="preserve">TRIPLE BODY ADAPTER ASSY - SQ LUG. </t>
  </si>
  <si>
    <t>40497-00</t>
  </si>
  <si>
    <t>COMPACT BODY, 1/4" NPT FE</t>
  </si>
  <si>
    <t>40498-00</t>
  </si>
  <si>
    <t>COMPACT BODY, 3/8" NPT FE</t>
  </si>
  <si>
    <t>40500-00</t>
  </si>
  <si>
    <t>COMPACT DIAPHRAGM BODY ASSY, 1/8" NPT FE</t>
  </si>
  <si>
    <t>40500-01</t>
  </si>
  <si>
    <t>COMPACT DIAPHRAGM BODY, 1/8" NPT FE</t>
  </si>
  <si>
    <t>40500-MS</t>
  </si>
  <si>
    <t>COMPACT DIAPHRAGM BODY ASSY, 1/8" NPT FE, MANUAL SHUT-OFF</t>
  </si>
  <si>
    <t>40500-NM</t>
  </si>
  <si>
    <t>COMPACT DIAPHRAGM BODY ASSY, 1/8" NPT FE, NO MODULE</t>
  </si>
  <si>
    <t>40500-P4</t>
  </si>
  <si>
    <t>COMPACT DIAPHRAGM BODY ASSY, 1/8" NPT FE, 4 PSI</t>
  </si>
  <si>
    <t>40500-V0</t>
  </si>
  <si>
    <t xml:space="preserve">COMPACT DIAPHRAGM BODY ASSY, 1/8" NPT FE, VITON® </t>
  </si>
  <si>
    <t>40500-VP4</t>
  </si>
  <si>
    <t>COMPACT DIAPHRAGM BODY ASSY, 1/8" NPT FE, VITON® , 4PSI</t>
  </si>
  <si>
    <t>40501-00</t>
  </si>
  <si>
    <t>COMPACT DIAPHRAGM BODY ASSY, 1/4" NPT FE</t>
  </si>
  <si>
    <t>40501-01</t>
  </si>
  <si>
    <t>COMPACT DIAPHRAGM BODY, 1/4" NPT FE</t>
  </si>
  <si>
    <t>40501-MS</t>
  </si>
  <si>
    <t>COMPACT DIAPHRAGM BODY ASSY, 1/4" NPT FE, MANUAL SHUT-OFF</t>
  </si>
  <si>
    <t>40501-NM</t>
  </si>
  <si>
    <t>COMPACT DIAPHRAGM BODY ASSY, 1/4" NPT FE, NO MODULE</t>
  </si>
  <si>
    <t>40501-P4</t>
  </si>
  <si>
    <t>COMPACT DIAPHRAGM BODY ASSY, 1/4" NPT FE, 4PSI</t>
  </si>
  <si>
    <t>40501-V0</t>
  </si>
  <si>
    <t xml:space="preserve">COMPACT DIAPHRAGM BODY ASSY, 1/4" NPT FE,VITON® </t>
  </si>
  <si>
    <t>40501-VP4</t>
  </si>
  <si>
    <t xml:space="preserve">COMPACT DIAPHRAGM BODY ASSY, 1/4" NPT FE,4 PSI,VITON® </t>
  </si>
  <si>
    <t>40502-00</t>
  </si>
  <si>
    <t>COMPACT DIAPHRAGM BODY ASSY, 1/4" PUSH-IN TUBE</t>
  </si>
  <si>
    <t>40502-01</t>
  </si>
  <si>
    <t>COMPACT DIAPHRAGM BODY, 1/4" PUSH-IN TUBE</t>
  </si>
  <si>
    <t>40502-MS</t>
  </si>
  <si>
    <t>COMPACT DIAPHRAGM BODY ASSY, 1/4" PUSH-IN TUBE, MANUAL SHUT-OFF</t>
  </si>
  <si>
    <t>40502-NM</t>
  </si>
  <si>
    <t>COMPACT DIAPHRAGM BODY ASSY, 1/4" PUSH-IN TUBE, NO MODULE</t>
  </si>
  <si>
    <t>40502-P4</t>
  </si>
  <si>
    <t>COMPACT DIAPHRAGM BODY ASSY, 1/4" PUSH-IN TUBE, 4PSI</t>
  </si>
  <si>
    <t>40502-V0</t>
  </si>
  <si>
    <t xml:space="preserve">COMPACT DIAPHRAGM BODY ASSY, 1/4" PUSH-IN TUBE,VITON® </t>
  </si>
  <si>
    <t>40502-VP4</t>
  </si>
  <si>
    <t xml:space="preserve">COMPACT DIAPHRAGM BODY ASSY, 1/4" PUSH-IN TUBE,4 PSI,VITON® </t>
  </si>
  <si>
    <t>40550-SS</t>
  </si>
  <si>
    <t>CLAMP ASSY, 1" PIPE, 2-HOLE,SS</t>
  </si>
  <si>
    <t>40551-SS</t>
  </si>
  <si>
    <t>CLAMP ASSY, 1-1/4" PIPE, 2-HOLE,SS</t>
  </si>
  <si>
    <t>40552-SS</t>
  </si>
  <si>
    <t>CLAMP ASSY, 1-1/2" PIPE, 2-HOLE,SS</t>
  </si>
  <si>
    <t>40553-SS</t>
  </si>
  <si>
    <t>CLAMP ASSY, 1" PIPE, 3-HOLE,SS</t>
  </si>
  <si>
    <t>40554-SS</t>
  </si>
  <si>
    <t>CLAMP ASSY, 1-1/4" PIPE, 3-HOLE,SS</t>
  </si>
  <si>
    <t>CLAMP ASSY, 1-1/2" PIPE, 3-HOLE,SS</t>
  </si>
  <si>
    <t>40611-00</t>
  </si>
  <si>
    <t>WET BOOM BODY ASSY -SINGLE- COMBO-JET, 3/4" PIPE, BOLT MOUNT CLAMP</t>
  </si>
  <si>
    <t>40611-MS</t>
  </si>
  <si>
    <t>WET BOOM BODY ASSY -SINGLE- COMBO-JET, 3/4" PIPE, BOLT MOUNT CLAMP, MANUAL SHUT-OFF</t>
  </si>
  <si>
    <t>40611-NM</t>
  </si>
  <si>
    <t>WET BOOM BODY ASSY -SINGLE- COMBO-JET, 3/4" PIPE, BOLT MOUNT CLAMP, NO MODULE</t>
  </si>
  <si>
    <t>40612-00</t>
  </si>
  <si>
    <t>WET BOOM BODY ASSY - DUAL - COMBO-JET, 3/4" PIPE, BOLT MOUNT CLAMP</t>
  </si>
  <si>
    <t>40612-MS</t>
  </si>
  <si>
    <t>WET BOOM BODY ASSY - DUAL - COMBO-JET, 3/4" PIPE, BOLT MOUNT CLAMP, MANUAL SHUT-OFF</t>
  </si>
  <si>
    <t>40612-NM</t>
  </si>
  <si>
    <t>WET BOOM BODY ASSY - DUAL - COMBO-JET, 3/4" PIPE, BOLT MOUNT CLAMP, NO MODULE</t>
  </si>
  <si>
    <t>40613-00</t>
  </si>
  <si>
    <t>WET BOOM BODY ASSY - TRIPLE - COMBO-JET, 3/4" PIPE, BOLT MOUNT CLAMP</t>
  </si>
  <si>
    <t>40613-MS</t>
  </si>
  <si>
    <t>WET BOOM BODY ASSY - TRIPLE - COMBO-JET, 3/4" PIPE, BOLT MOUNT CLAMP, MANUAL SHUT-OFF</t>
  </si>
  <si>
    <t>40613-NM</t>
  </si>
  <si>
    <t>WET BOOM BODY ASSY - TRIPLE - COMBO-JET, 3/4" PIPE, BOLT MOUNT CLAMP, NO MODULE</t>
  </si>
  <si>
    <t>40621-00</t>
  </si>
  <si>
    <t>WET BOOM BODY ASSY -SINGLE- COMBO-JET, 1" PIPE, BOLT MOUNT CLAMP</t>
  </si>
  <si>
    <t>40621-MS</t>
  </si>
  <si>
    <t>WET BOOM BODY ASSY -SINGLE- COMBO-JET, 1" PIPE, BOLT MOUNT CLAMP, MANUAL SHUT-OFF</t>
  </si>
  <si>
    <t>40621-NM</t>
  </si>
  <si>
    <t>WET BOOM BODY ASSY -SINGLE- COMBO-JET, 1" PIPE, BOLT MOUNT CLAMP, NO MODULE</t>
  </si>
  <si>
    <t>40622-00</t>
  </si>
  <si>
    <t>WET BOOM BODY ASSY - DUAL - COMBO-JET, 1" PIPE, BOLT MOUNT CLAMP</t>
  </si>
  <si>
    <t>40622-MS</t>
  </si>
  <si>
    <t>WET BOOM BODY ASSY - DUAL - COMBO-JET, 1" PIPE, BOLT MOUNT CLAMP, MANUAL SHUT-OFF</t>
  </si>
  <si>
    <t>40622-NM</t>
  </si>
  <si>
    <t>WET BOOM BODY ASSY - DUAL - COMBO-JET, 1" PIPE, BOLT MOUNT CLAMP, NO MODULE</t>
  </si>
  <si>
    <t>40623-00</t>
  </si>
  <si>
    <t>WET BOOM BODY ASSY - TRIPLE - COMBO-JET, 1" PIPE, BOLT MOUNT CLAMP</t>
  </si>
  <si>
    <t>40623-MS</t>
  </si>
  <si>
    <t>WET BOOM BODY ASSY - TRIPLE - COMBO-JET, 1" PIPE, BOLT MOUNT CLAMP, MANUAL SHUT-OFF</t>
  </si>
  <si>
    <t>40623-NM</t>
  </si>
  <si>
    <t>WET BOOM BODY ASSY - TRIPLE - COMBO-JET, 1" PIPE, BOLT MOUNT CLAMP, NO MODULE</t>
  </si>
  <si>
    <t>40631-00</t>
  </si>
  <si>
    <t>WET BOOM BODY ASSY - SINGLE COMBO-JET, 1" PIPE, BOLT MOUNT CLAMP,  KWIKSTOP</t>
  </si>
  <si>
    <t>40631-MS</t>
  </si>
  <si>
    <t>WET BOOM BODY ASSY - SINGLE COMBO-JET, 1" PIPE, BOLT MOUNT CLAMP, MANUAL SHUT-OFF,  KWIKSTOP</t>
  </si>
  <si>
    <t>40631-NM</t>
  </si>
  <si>
    <t>WET BOOM BODY ASSY - SINGLE COMBO-JET, 1" PIPE, BOLT MOUNT CLAMP, NO MODULE,  KWIKSTOP</t>
  </si>
  <si>
    <t>40632-00</t>
  </si>
  <si>
    <t>WET BOOM BODY - DUAL COMBO-JET, 1" PIPE, BOLT MOUNT CLAMP, KWIKSTOP</t>
  </si>
  <si>
    <t>40632-MS</t>
  </si>
  <si>
    <t>WET BOOM BODY - DUAL COMBO-JET, 1" PIPE, BOLT MOUNT CLAMP, MANUAL SHUT-OFF, KWIKSTOP</t>
  </si>
  <si>
    <t>40632-NM</t>
  </si>
  <si>
    <t>WET BOOM BODY - DUAL COMBO-JET, 1" PIPE, BOLT MOUNT CLAMP, NO MODULE, KWIKSTOP</t>
  </si>
  <si>
    <t>40633-00</t>
  </si>
  <si>
    <t>WET BOOM BODY ASSY - TRIPLE COMBO-JET, 1" PIPE, BOLT MOUNT CLAMP, KWIKSTOP</t>
  </si>
  <si>
    <t>40633-MS</t>
  </si>
  <si>
    <t>WET BOOM BODY ASSY - TRIPLE COMBO-JET, 1" PIPE, BOLT MOUNT CLAMP, MANUAL SHUT-OFF, KWIKSTOP</t>
  </si>
  <si>
    <t>40633-NM</t>
  </si>
  <si>
    <t>WET BOOM BODY ASSY - TRIPLE COMBO-JET, 1" PIPE, BOLT MOUNT CLAMP, NO MODULE, KWIKSTOP</t>
  </si>
  <si>
    <t>40651-00</t>
  </si>
  <si>
    <t>WET BOOM BODY ASSY -SINGLE- SQUARE LUG, 3/4" PIPE, BOLT MOUNT CLAMP</t>
  </si>
  <si>
    <t>40651-MS</t>
  </si>
  <si>
    <t>WET BOOM BODY ASSY -SINGLE- SQUARE LUG, 3/4" PIPE, BOLT MOUNT CLAMP, MANUAL SHUT-OFF</t>
  </si>
  <si>
    <t>40651-NM</t>
  </si>
  <si>
    <t>WET BOOM BODY ASSY -SINGLE- SQUARE LUG, 3/4" PIPE, BOLT MOUNT CLAMP, NO MODULE</t>
  </si>
  <si>
    <t>40652-00</t>
  </si>
  <si>
    <t>WET BOOM BODY ASSY - DUAL - SQUARE LUG, 3/4" PIPE, BOLT MOUNT CLAMP</t>
  </si>
  <si>
    <t>40652-MS</t>
  </si>
  <si>
    <t>WET BOOM BODY ASSY - DUAL - SQUARE LUG, 3/4" PIPE, BOLT MOUNT CLAMP, MANUAL SHUT-OFF</t>
  </si>
  <si>
    <t>40652-NM</t>
  </si>
  <si>
    <t>WET BOOM BODY ASSY - DUAL - SQUARE LUG, 3/4" PIPE, BOLT MOUNT CLAMP, NO MODULE</t>
  </si>
  <si>
    <t>40653-00</t>
  </si>
  <si>
    <t>WET BOOM BODY ASSY - TRIPLE - SQUARE LUG, 3/4" PIPE, BOLT MOUNT CLAMP</t>
  </si>
  <si>
    <t>40653-MS</t>
  </si>
  <si>
    <t>WET BOOM BODY ASSY - TRIPLE - SQUARE LUG, 3/4" PIPE, BOLT MOUNT CLAMP, MANUAL SHUT-OFF</t>
  </si>
  <si>
    <t>40653-NM</t>
  </si>
  <si>
    <t>WET BOOM BODY ASSY - TRIPLE - SQUARE LUG, 3/4" PIPE, BOLT MOUNT CLAMP, NO MODULE</t>
  </si>
  <si>
    <t>40661-00</t>
  </si>
  <si>
    <t>WET BOOM BODY ASSY -SINGLE- SQUARE LUG, 1" PIPE, BOLT MOUNT CLAMP</t>
  </si>
  <si>
    <t>40661-MS</t>
  </si>
  <si>
    <t>WET BOOM BODY ASSY -SINGLE- SQUARE LUG, 1" PIPE, BOLT MOUNT CLAMP, MANUAL SHUT-OFF</t>
  </si>
  <si>
    <t>40661-NM</t>
  </si>
  <si>
    <t>WET BOOM BODY ASSY -SINGLE- SQUARE LUG, 1" PIPE, BOLT MOUNT CLAMP, NO MODULE</t>
  </si>
  <si>
    <t>40662-00</t>
  </si>
  <si>
    <t>WET BOOM BODY ASSY - DUAL - SQUARE LUG, 1" PIPE, BOLT MOUNT CLAMP</t>
  </si>
  <si>
    <t>40662-MS</t>
  </si>
  <si>
    <t>WET BOOM BODY ASSY - DUAL - SQUARE LUG, 1" PIPE, BOLT MOUNT CLAMP, MANUAL SHUT-OFF</t>
  </si>
  <si>
    <t>40662-NM</t>
  </si>
  <si>
    <t>WET BOOM BODY ASSY - DUAL - SQUARE LUG, 1" PIPE, BOLT MOUNT CLAMP, NO MODULE</t>
  </si>
  <si>
    <t>40663-00</t>
  </si>
  <si>
    <t>WET BOOM BODY ASSY - TRIPLE - SQUARE LUG, 1" PIPE, BOLT MOUNT CLAMP</t>
  </si>
  <si>
    <t>40663-MS</t>
  </si>
  <si>
    <t>WET BOOM BODY ASSY - TRIPLE - SQUARE LUG, 1" PIPE, BOLT MOUNT CLAMP, MANUAL SHUT-OFF</t>
  </si>
  <si>
    <t>40663-NM</t>
  </si>
  <si>
    <t>WET BOOM BODY ASSY - TRIPLE - SQUARE LUG, 1" PIPE, BOLT MOUNT CLAMP, NO MODULE</t>
  </si>
  <si>
    <t>40671-00</t>
  </si>
  <si>
    <t>WET BOOM BODY ASSY - SINGLE SQUARE LUG, 1" PIPE, BOLT MOUNT CLAMP,  KWIKSTOP</t>
  </si>
  <si>
    <t>40671-MS</t>
  </si>
  <si>
    <t>WET BOOM BODY ASSY - SINGLE SQUARE LUG, 1" PIPE, BOLT MOUNT CLAMP, MANUAL SHUT-OFF,  KWIKSTOP</t>
  </si>
  <si>
    <t>40671-NM</t>
  </si>
  <si>
    <t>WET BOOM BODY ASSY - SINGLE SQUARE LUG, 1" PIPE, BOLT MOUNT CLAMP, NO MODULE,  KWIKSTOP</t>
  </si>
  <si>
    <t>40672-00</t>
  </si>
  <si>
    <t>WET BOOM BODY - DUAL SQUARE LUG, 1" PIPE, BOLT MOUNT CLAMP, KWIKSTOP</t>
  </si>
  <si>
    <t>40672-MS</t>
  </si>
  <si>
    <t>WET BOOM BODY - DUAL SQUARE LUG, 1" PIPE, BOLT MOUNT CLAMP, MANUAL SHUT-OFF, KWIKSTOP</t>
  </si>
  <si>
    <t>40672-NM</t>
  </si>
  <si>
    <t>WET BOOM BODY - DUAL SQUARE LUG, 1" PIPE, BOLT MOUNT CLAMP, NO MODULE, KWIKSTOP</t>
  </si>
  <si>
    <t>40673-00</t>
  </si>
  <si>
    <t>WET BOOM BODY ASSY - TRIPLE SQUARE LUG, 1" PIPE, BOLT MOUNT CLAMP, KWIKSTOP</t>
  </si>
  <si>
    <t>40673-MS</t>
  </si>
  <si>
    <t>WET BOOM BODY ASSY - TRIPLE SQUARE LUG, 1" PIPE, BOLT MOUNT CLAMP, MANUAL SHUT-OFF, KWIKSTOP</t>
  </si>
  <si>
    <t>40673-NM</t>
  </si>
  <si>
    <t>WET BOOM BODY ASSY - TRIPLE SQUARE LUG, 1" PIPE, BOLT MOUNT CLAMP, NO MODULE, KWIKSTOP</t>
  </si>
  <si>
    <t>41100-00</t>
  </si>
  <si>
    <t>COMBO-RATE THRU BODY ASSY, DIAPHRAGM CHECK</t>
  </si>
  <si>
    <t>41100-01</t>
  </si>
  <si>
    <t>COMBO-RATE THRU BODY, DIAPHRAGM STYLE</t>
  </si>
  <si>
    <t>41100-02</t>
  </si>
  <si>
    <t>COMBO-RATE BODY NUT</t>
  </si>
  <si>
    <t>41100-03</t>
  </si>
  <si>
    <t>COMBO-RATE DIAPHRAGM MODULE ASSY</t>
  </si>
  <si>
    <t>41100-04</t>
  </si>
  <si>
    <t>COMBO-RATE DIAPHRAGM MODULE</t>
  </si>
  <si>
    <t>41100-05</t>
  </si>
  <si>
    <t>COMBO-RATE DIAPHRAGM SPRING - 10 PSI, 0.045 WIRE</t>
  </si>
  <si>
    <t>41100-06</t>
  </si>
  <si>
    <t>COMBO-RATE PRESSURE PAD</t>
  </si>
  <si>
    <t>41100-07</t>
  </si>
  <si>
    <t>COMBO-RATE DIAPHRAGM SPRING - 7.5 PSI, 0.042 WIRE</t>
  </si>
  <si>
    <t>41100-08</t>
  </si>
  <si>
    <t>COMBO-RATE DIAPHRAGM SPRING - 4.0 PSI, 0.025 WIRE</t>
  </si>
  <si>
    <t>41100-09</t>
  </si>
  <si>
    <t>COMBO-RATE DIAPHRAGM SPRING - 13.5 PSI, 0.049 WIRE</t>
  </si>
  <si>
    <t>41100-10</t>
  </si>
  <si>
    <t>COMBO-RATE DIAPHRAGM MODULE - RED</t>
  </si>
  <si>
    <t>41100-11</t>
  </si>
  <si>
    <t>COMBO-RATE DIAPHRAGM MODULE ASSY - RED with 13.5 psi SPRING</t>
  </si>
  <si>
    <t>41100-14</t>
  </si>
  <si>
    <t>BODY NUT, BROWN</t>
  </si>
  <si>
    <t>41100-15</t>
  </si>
  <si>
    <t>COMBO-RATE O-RING REPAIR KIT, ( 6 BODIES), BUNA-N</t>
  </si>
  <si>
    <t>41100-16</t>
  </si>
  <si>
    <t xml:space="preserve">COMBO-RATE O-RING REPAIR KIT, ( 6 BODIES), VITON® </t>
  </si>
  <si>
    <t>41101-00</t>
  </si>
  <si>
    <t xml:space="preserve">COMBO-RATE END BODY ASSY, DIAPHRAGM CHECK </t>
  </si>
  <si>
    <t>41101-01</t>
  </si>
  <si>
    <t>COMBO-RATE END BODY, DIAPHRAGM STYLE</t>
  </si>
  <si>
    <t>41102-00</t>
  </si>
  <si>
    <t xml:space="preserve">COMBO-RATE SWIVEL END BODY ASSY, DIAPHRAGM CHECK </t>
  </si>
  <si>
    <t>41102-01</t>
  </si>
  <si>
    <t>COMBO-RATE SWIVEL END BODY, DIAPHRAGM STYLE</t>
  </si>
  <si>
    <t>41102-02</t>
  </si>
  <si>
    <t xml:space="preserve">COMBO-RATE LOCKING SWIVEL </t>
  </si>
  <si>
    <t>41102-03</t>
  </si>
  <si>
    <t>O-RING, FKM, #018</t>
  </si>
  <si>
    <t>41102-04</t>
  </si>
  <si>
    <t>SCREW, #10 X 1/2", SS</t>
  </si>
  <si>
    <t>41110-00</t>
  </si>
  <si>
    <t>COMBO-RATE THRU BODY ASSY, MANUAL ON/OFF</t>
  </si>
  <si>
    <t>41110-01</t>
  </si>
  <si>
    <t>COMBO-RATE SHUT-OFF MODULE ASSY</t>
  </si>
  <si>
    <t>41110-02</t>
  </si>
  <si>
    <t>COMBO-RATE SHUT-OFF MODULE</t>
  </si>
  <si>
    <t>41110-03</t>
  </si>
  <si>
    <t>COMBO-RATE SHUT-OFF KNOB</t>
  </si>
  <si>
    <t>41110-04</t>
  </si>
  <si>
    <t>COMBO-RATE SHUT-OFF KNOB, BLUE</t>
  </si>
  <si>
    <t>41110-05</t>
  </si>
  <si>
    <t>COMBO-RATE SHUT-OFF KNOB, RED</t>
  </si>
  <si>
    <t>41110-06</t>
  </si>
  <si>
    <t>COMBO-RATE SHUT-OFF MODULE SUB-ASSEMBLY (41110-01 less 41110-03 and 41100-02)</t>
  </si>
  <si>
    <t>41110-07</t>
  </si>
  <si>
    <t>COMBO-RATE SHUT-OFF MODULE ASSY, BLUE KNOB, 4 PSI</t>
  </si>
  <si>
    <t>41110-08</t>
  </si>
  <si>
    <t>COMBO-RATE SHUT-OFF MODULE ASSY,RED KNOB, 15 PSI</t>
  </si>
  <si>
    <t>41110-09</t>
  </si>
  <si>
    <t>COMBO-RATE SHUT-OFF KNOB, YELLOW</t>
  </si>
  <si>
    <t>41110-P4</t>
  </si>
  <si>
    <t>COMBO-RATE THRU BODY ASSY, MANUAL ON/OFF, 4PSI</t>
  </si>
  <si>
    <t>41111-00</t>
  </si>
  <si>
    <t>COMBO-RATE END BODY ASSY, MANUAL ON/OFF</t>
  </si>
  <si>
    <t>41112-00</t>
  </si>
  <si>
    <t>COMBO-RATE SWIVEL END BODY ASSY, MANUAL ON/OFF</t>
  </si>
  <si>
    <t>41115-02</t>
  </si>
  <si>
    <t>COMBO-RATE MANIFOLD ASSY - INLET, PRV, &amp; 2 OUTLETS</t>
  </si>
  <si>
    <t>41115-03</t>
  </si>
  <si>
    <t>COMBO-RATE MANIFOLD ASSY - INLET, PRV, &amp; 3 OUTLETS</t>
  </si>
  <si>
    <t>41125-00</t>
  </si>
  <si>
    <t>COMBO-RATE THRU BODY ASSY, AIR-OFF OPERATED</t>
  </si>
  <si>
    <t>41125-01</t>
  </si>
  <si>
    <t>AIR-OFF MODULE ASSY</t>
  </si>
  <si>
    <t>41125-02</t>
  </si>
  <si>
    <t xml:space="preserve">AIR-OFF MODULE </t>
  </si>
  <si>
    <t>41125-03</t>
  </si>
  <si>
    <t xml:space="preserve">AIR-OFF PISTON </t>
  </si>
  <si>
    <t>41125-04</t>
  </si>
  <si>
    <t>41125-V4</t>
  </si>
  <si>
    <t>O-RING - VITON®   #112</t>
  </si>
  <si>
    <t>41126-00</t>
  </si>
  <si>
    <t>COMBO-RATE END BODY ASSY, AIR-OFF OPERATED</t>
  </si>
  <si>
    <t>41127-00</t>
  </si>
  <si>
    <t>COMBO-RATE SWIVEL END BODY ASSY, AIR-OFF OPERATED</t>
  </si>
  <si>
    <t>41130-00</t>
  </si>
  <si>
    <t>C/R THRU BODY, PRESSURE RELIEF VALVE</t>
  </si>
  <si>
    <t>41130-01</t>
  </si>
  <si>
    <t>COMBO-RATE PRV MODULE KIT (to make any body a PRV)</t>
  </si>
  <si>
    <t>41130-02</t>
  </si>
  <si>
    <t>COMBO-RATE PRV MODULE</t>
  </si>
  <si>
    <t>41130-03</t>
  </si>
  <si>
    <t>COMBO-RATE PRV ADJUSTMENT KNOB</t>
  </si>
  <si>
    <t>41130-04</t>
  </si>
  <si>
    <t>COMBO-RATE PRV LOCK NUT</t>
  </si>
  <si>
    <t>41130-05</t>
  </si>
  <si>
    <t>COMBO-RATE PRV SPRING PAD</t>
  </si>
  <si>
    <t>41130-06</t>
  </si>
  <si>
    <t>COMBO-RATE PRV SPRING</t>
  </si>
  <si>
    <t>41131-00</t>
  </si>
  <si>
    <t>C/R END BODY, PRESSURE RELIEF VALVE</t>
  </si>
  <si>
    <t>41133-00</t>
  </si>
  <si>
    <t>COMBO-RATE THRU BODY ASSY, W/O NUT</t>
  </si>
  <si>
    <t>41133-01</t>
  </si>
  <si>
    <t>COMBO-RATE / PWM ADAPTER NUT</t>
  </si>
  <si>
    <t>41134-00</t>
  </si>
  <si>
    <t>COMBO-RATE END BODY ASSY, w/o NUT</t>
  </si>
  <si>
    <t>41135-00</t>
  </si>
  <si>
    <t>COMBO-RATE THRU BODY ASSY, w/o NUT</t>
  </si>
  <si>
    <t>41136-00</t>
  </si>
  <si>
    <t>41137-00</t>
  </si>
  <si>
    <t>COMBO-RATE SWIVEL END BODY ASSY, w/o NUT</t>
  </si>
  <si>
    <t>41150-00</t>
  </si>
  <si>
    <t>INTER-BODY STRAINER ASSY, 50 M</t>
  </si>
  <si>
    <t>41151-00</t>
  </si>
  <si>
    <t>INTER-BODY STRAINER ASSY, 100 M</t>
  </si>
  <si>
    <t>41152-00</t>
  </si>
  <si>
    <t>INTER-BODY STRAINER ASSY, 80 M</t>
  </si>
  <si>
    <t>41200-00</t>
  </si>
  <si>
    <t>WET BOOM SADDLE ASSY, 1" PIPE , 3/8" INLET</t>
  </si>
  <si>
    <t>41200-01</t>
  </si>
  <si>
    <t>WET BOOM SIDE SADDLE BODY, 1" PIPE , 3/8" INLET</t>
  </si>
  <si>
    <t>41200-02</t>
  </si>
  <si>
    <t>WET BOOM SIDE SADDLE BACKSTRAP, 1" PIPE</t>
  </si>
  <si>
    <t>41200-03</t>
  </si>
  <si>
    <t>MACHINE SCREW, 10-24 x 7/8", SS</t>
  </si>
  <si>
    <t>41200-04</t>
  </si>
  <si>
    <t>MACHINE SCREW, 10-24  NUT, SS</t>
  </si>
  <si>
    <t>41201-00</t>
  </si>
  <si>
    <t>WET BOOM SADDLE, 1" PIPE , 9/16" HIGH FLOW INLET</t>
  </si>
  <si>
    <t>41201-01</t>
  </si>
  <si>
    <t>WET BOOM SIDE SADDLE BODY, 1" PIPE , 9/16" INLET</t>
  </si>
  <si>
    <t>41202-00</t>
  </si>
  <si>
    <t>WET BOOM SADDLE, 1 1/4" TUBE, 3/8" INLET</t>
  </si>
  <si>
    <t>41202-01</t>
  </si>
  <si>
    <t>WET BOOM SIDE SADDLE BACKSTRAP, 1 1/4" TUBE</t>
  </si>
  <si>
    <t>41203-00</t>
  </si>
  <si>
    <t>WET BOOM SADDLE, 3/4" PIPE , 3/8" INLET</t>
  </si>
  <si>
    <t>41203-01</t>
  </si>
  <si>
    <t>WET BOOM SIDE SADDLE BODY, 3/4" PIPE , 3/8" INLET</t>
  </si>
  <si>
    <t>41203-02</t>
  </si>
  <si>
    <t>WET BOOM SIDE SADDLE BACKSTRAP, 3/4" PIPE</t>
  </si>
  <si>
    <t>41204-00</t>
  </si>
  <si>
    <t>WET BOOM SADDLE, 1 1/4" TUBE , 9/16" HIGH FLOW INLET</t>
  </si>
  <si>
    <t>41206-00</t>
  </si>
  <si>
    <t>WET BOOM SADDLE, 2" PIPE , 9/16" INLET</t>
  </si>
  <si>
    <t>41206-01</t>
  </si>
  <si>
    <t>WET BOOM SIDE SADDLE BODY, 2" TUBE , 9/16" INLET</t>
  </si>
  <si>
    <t>41206-02</t>
  </si>
  <si>
    <t>WET BOOM SIDE SADDLE BACKSTRAP, 2" TUBE</t>
  </si>
  <si>
    <t>41206-03</t>
  </si>
  <si>
    <t>MACHINE SCREW, 10-24 x 1", SS</t>
  </si>
  <si>
    <t>41210-03</t>
  </si>
  <si>
    <t>41210-V3</t>
  </si>
  <si>
    <t>O-RING - VITON®  # 218</t>
  </si>
  <si>
    <t>41250-00</t>
  </si>
  <si>
    <t>COMBO-CLIP (C/C) 90º ELBOW M/FE ASSY</t>
  </si>
  <si>
    <t>41250-01</t>
  </si>
  <si>
    <t xml:space="preserve">C/C 90º ELBOW M/FE </t>
  </si>
  <si>
    <t>41251-00</t>
  </si>
  <si>
    <t>C/C /RADIALOCK BODY/ NPTF 1/4" ADAPTER ASSY</t>
  </si>
  <si>
    <t>41251-01</t>
  </si>
  <si>
    <t xml:space="preserve">C/C - R/L BODY - NPTF 1/4" ADAPTER </t>
  </si>
  <si>
    <t>41252-00</t>
  </si>
  <si>
    <t>C/C  FE x 1/4"NPT MALE ADAPTER ASSY</t>
  </si>
  <si>
    <t>41252-01</t>
  </si>
  <si>
    <t>C/C FE x 1/4"NPT MALE ADAPTER BDY</t>
  </si>
  <si>
    <t>41253-00</t>
  </si>
  <si>
    <t>C/C  FE x 3/8"NPT MALE ADAPTER ASSY</t>
  </si>
  <si>
    <t>41253-01</t>
  </si>
  <si>
    <t>C/C FE x 3/8"NPT MALE ADAPTER BDY</t>
  </si>
  <si>
    <t>41255-00</t>
  </si>
  <si>
    <t>C/C  FE x 1/4"NPT FE x 3/4" SQ. MOUNT ADAPTER</t>
  </si>
  <si>
    <t>41255-01</t>
  </si>
  <si>
    <t>C/C FE x 1/4"NPT FEMALE ADAPTER BDY</t>
  </si>
  <si>
    <t>41256-00</t>
  </si>
  <si>
    <t>C/C  FE x 3/8"NPT FE x 3/4" SQ. MOUNT ADAPTER</t>
  </si>
  <si>
    <t>41256-01</t>
  </si>
  <si>
    <t>C/C FE x 3/8"NPT FEMALE ADAPTER BDY</t>
  </si>
  <si>
    <t>41261-00</t>
  </si>
  <si>
    <t>3/4" SQ. MOUNT DRY BOOM CLAMP ASSY- 1" SQ. TUBE</t>
  </si>
  <si>
    <t>41261-01</t>
  </si>
  <si>
    <t>3/4" SQ. MOUNT DRY BOOM MAIN CLAMP - 1" SQ. TUBE</t>
  </si>
  <si>
    <t>41261-01S</t>
  </si>
  <si>
    <t>3/4" SQ. MOUNT DRY BOOM MAIN CLAMP- STAINLESS STEEL - 1" SQ. TUBE</t>
  </si>
  <si>
    <t>41261-02</t>
  </si>
  <si>
    <t>41261-02S</t>
  </si>
  <si>
    <t>CLAMP LOCK STRAP- STAINLESS STEEL - 1" SQ. TUBE</t>
  </si>
  <si>
    <t>41261-SS</t>
  </si>
  <si>
    <t>3/4" SQ. MOUNT DRY BOOM CLAMP ASSY- STAINLESS STEEL -1" SQ. TUBE</t>
  </si>
  <si>
    <t>41262-00</t>
  </si>
  <si>
    <t>3/4" SQ. MOUNT DRY BOOM CLAMP ASSY- 1 1/4" SQ. TUBE</t>
  </si>
  <si>
    <t>41262-01</t>
  </si>
  <si>
    <t>3/4" SQ. MOUNT DRY BOOM MAIN CLAMP - 1 1/4" SQ. TUBE</t>
  </si>
  <si>
    <t>41262-01S</t>
  </si>
  <si>
    <t>3/4" SQ. MOUNT DRY BOOM MAIN CLAMP - STAINLESS STEEL-1 1/4" SQ. TUBE</t>
  </si>
  <si>
    <t>41262-02</t>
  </si>
  <si>
    <t>41262-02S</t>
  </si>
  <si>
    <t>CLAMP LOCK STRAP - STAINLESS -1 1/4" SQ. TUBE</t>
  </si>
  <si>
    <t>41262-SS</t>
  </si>
  <si>
    <t>3/4" SQ. MOUNT DRY BOOM CLAMP ASSY- STAINLESS STEEL-1 1/4" SQ. TUBE</t>
  </si>
  <si>
    <t>41263-00</t>
  </si>
  <si>
    <t>3/4" SQ. MOUNT DRY BOOM CLAMP ASSY- 1 1/2" SQ. TUBE</t>
  </si>
  <si>
    <t>41263-01</t>
  </si>
  <si>
    <t>3/4" SQ. MOUNT DRY BOOM MAIN CLAMP - 1 1/2" SQ. TUBE</t>
  </si>
  <si>
    <t>41263-01S</t>
  </si>
  <si>
    <t>3/4" SQ. MOUNT DRY BOOM MAIN CLAMP -STAINLESS STEEL- 1 1/2" SQ. TUBE</t>
  </si>
  <si>
    <t>41263-02</t>
  </si>
  <si>
    <t>41263-02S</t>
  </si>
  <si>
    <t>CLAMP LOCK STRAP -STAINLESS STEEL- 1 1/2" SQ. TUBE</t>
  </si>
  <si>
    <t>41263-SS</t>
  </si>
  <si>
    <t>3/4" SQ. MOUNT DRY BOOM CLAMP ASSY- STAINLESS STEEL-1 1/2" SQ. TUBE</t>
  </si>
  <si>
    <t>41264-00</t>
  </si>
  <si>
    <t>3/4" SQ. MOUNT DRY BOOM CLAMP ASSY- 2" SQ. TUBE</t>
  </si>
  <si>
    <t>41264-01</t>
  </si>
  <si>
    <t>3/4" SQ. MOUNT DRY BOOM MAIN CLAMP - 2" SQ. TUBE</t>
  </si>
  <si>
    <t>41264-01S</t>
  </si>
  <si>
    <t>3/4" SQ. MOUNT DRY BOOM MAIN CLAMP -STAINLESS STEEL- 2" SQ. TUBE</t>
  </si>
  <si>
    <t>41264-02</t>
  </si>
  <si>
    <t>41264-02S</t>
  </si>
  <si>
    <t>CLAMP LOCK STRAP -STAINLESS STEEL- 2" SQ. TUBE</t>
  </si>
  <si>
    <t>41264-SS</t>
  </si>
  <si>
    <t>3/4" SQ. MOUNT DRY BOOM CLAMP ASSY-STAINLESS STEEL- 2" SQ. TUBE</t>
  </si>
  <si>
    <t>41275-00</t>
  </si>
  <si>
    <t xml:space="preserve">ADAPTER, C/C  MALE x 1/4" NPT FEMALE  </t>
  </si>
  <si>
    <t>41276-00</t>
  </si>
  <si>
    <t xml:space="preserve">ADAPTER, C/C  MALE x 3/8" NPT FEMALE </t>
  </si>
  <si>
    <t>41285-00</t>
  </si>
  <si>
    <t>ADAPTER, C/C  MALE x PLUG</t>
  </si>
  <si>
    <t>41311-00</t>
  </si>
  <si>
    <t>COMBO-RATE DIAPHRAGM SADDLE BODY ASSY, ONE-WAY, 1/2" PIPE</t>
  </si>
  <si>
    <t>41311-01</t>
  </si>
  <si>
    <t>COMBO-RATE DIAPHRAGM SADDLE BODY, ONE-WAY, 1/2" PIPE</t>
  </si>
  <si>
    <t>41311-02</t>
  </si>
  <si>
    <t>UPPER CLAMP,HINGED,1/2" PIPE</t>
  </si>
  <si>
    <t>41311-03</t>
  </si>
  <si>
    <t>PIN,HINGED SADDLE</t>
  </si>
  <si>
    <t>41311-04</t>
  </si>
  <si>
    <t>SCREW,#10-24x1/2,SS</t>
  </si>
  <si>
    <t>41311-05</t>
  </si>
  <si>
    <t>NUT, SQUARE, #10-24, SS</t>
  </si>
  <si>
    <t>41312-00</t>
  </si>
  <si>
    <t>COMBO-RATE DIAPHRAGM SADDLE BODY ASSY, TWO-WAY, 1/2" PIPE</t>
  </si>
  <si>
    <t>41312-01</t>
  </si>
  <si>
    <t>COMBO-RATE SADDLE BODY, TWO-WAY, 1/2" PIPE</t>
  </si>
  <si>
    <t>41313-00</t>
  </si>
  <si>
    <t>COMBO-RATE MANUAL ON/OFF SADDLE BODY ASSY, ONE-WAY, 1/2" PIPE</t>
  </si>
  <si>
    <t>41314-00</t>
  </si>
  <si>
    <t>COMBO-RATE MANUAL ON/OFF SADDLE BODY ASSY, TWO-WAY, 1/2" PIPE</t>
  </si>
  <si>
    <t>41315-00</t>
  </si>
  <si>
    <t>COMBO-RATE AIR-OFF SADDLE BODY ASSY, ONE-WAY, 1/2" PIPE</t>
  </si>
  <si>
    <t>41316-00</t>
  </si>
  <si>
    <t>COMBO-RATE AIR-OFF SADDLE BODY ASSY, TWO-WAY, 1/2" PIPE</t>
  </si>
  <si>
    <t>41317-00</t>
  </si>
  <si>
    <t>COMBO-RATE SADDLE BODY ASSY, w/o NUT, ONE-WAY, 1/2" PIPE</t>
  </si>
  <si>
    <t>41318-00</t>
  </si>
  <si>
    <t>COMBO-RATE SADDLE BODY ASSY, w/o NUT, TWO-WAY, 1/2" PIPE</t>
  </si>
  <si>
    <t>41321-00</t>
  </si>
  <si>
    <t>COMBO-RATE DIAPHRAGM SADDLE BODY ASSY, ONE-WAY, 3/4" PIPE</t>
  </si>
  <si>
    <t>41321-01</t>
  </si>
  <si>
    <t>COMBO-RATE DIAPHRAGM SADDLE BODY, ONE-WAY, 3/4" PIPE</t>
  </si>
  <si>
    <t>41321-02</t>
  </si>
  <si>
    <t>UPPER CLAMP,HINGED,3/4" PIPE</t>
  </si>
  <si>
    <t>41322-00</t>
  </si>
  <si>
    <t>COMBO-RATE DIAPHRAGM SADDLE BODY ASSY, TWO-WAY, 3/4" PIPE</t>
  </si>
  <si>
    <t>41322-01</t>
  </si>
  <si>
    <t>COMBO-RATE DIAPHRAGM SADDLE BODY, TWO-WAY, 3/4" PIPE</t>
  </si>
  <si>
    <t>41323-00</t>
  </si>
  <si>
    <t>COMBO-RATE MANUAL ON/OFF SADDLE BODY ASSY, ONE-WAY, 3/4" PIPE</t>
  </si>
  <si>
    <t>41324-00</t>
  </si>
  <si>
    <t>COMBO-RATE MANUAL ON/OFF SADDLE BODY ASSY, TWO-WAY, 3/4" PIPE</t>
  </si>
  <si>
    <t>41325-00</t>
  </si>
  <si>
    <t>COMBO-RATE AIR-OFF SADDLE BODY ASSY, ONE-WAY, 3/4" PIPE</t>
  </si>
  <si>
    <t>41326-00</t>
  </si>
  <si>
    <t>COMBO-RATE AIR-OFF SADDLE BODY ASSY, TWO-WAY, 3/4" PIPE</t>
  </si>
  <si>
    <t>41327-00</t>
  </si>
  <si>
    <t>COMBO-RATE SADDLE BODY ASSY, FOR CAPSTAN w/o NUT, ONE-WAY, 3/4" PIPE</t>
  </si>
  <si>
    <t>41328-00</t>
  </si>
  <si>
    <t>COMBO-RATE SADDLE BODY ASSY, FOR CAPSTAN w/o NUT, TWO-WAY, 3/4" PIPE</t>
  </si>
  <si>
    <t>41331-00</t>
  </si>
  <si>
    <t>COMBO-RATE DIAPHRAGM SADDLE BODY ASSY, ONE-WAY, 1" PIPE, 3/8" INLET</t>
  </si>
  <si>
    <t>41331-01</t>
  </si>
  <si>
    <t>COMBO-RATE DIAPHRAGM SADDLE BODY, ONE-WAY, 1" PIPE, 3/8" INLET</t>
  </si>
  <si>
    <t>41331-02</t>
  </si>
  <si>
    <t>UPPER CLAMP,HINGED,1" PIPE</t>
  </si>
  <si>
    <t>41331-03</t>
  </si>
  <si>
    <t>HI-LO SCREW -#10 x 5/8" PHILIPS</t>
  </si>
  <si>
    <t>41332-00</t>
  </si>
  <si>
    <t>COMBO-RATE DIAPHRAGM SADDLE BODY ASSY, TWO-WAY, 1" PIPE, 3/8" INLET</t>
  </si>
  <si>
    <t>41332-01</t>
  </si>
  <si>
    <t>COMBO-RATE DIAPHRAGM SADDLE BODY, TWO-WAY, 1" PIPE, 3/8" INLET</t>
  </si>
  <si>
    <t>41333-00</t>
  </si>
  <si>
    <t>COMBO-RATE MANUAL ON/OFF SADDLE BODY ASSY, ONE-WAY, 1" PIPE, 3/8" INLET</t>
  </si>
  <si>
    <t>41334-00</t>
  </si>
  <si>
    <t>COMBO-RATE MANUAL ON/OFF SADDLE BODY ASSY, TWO-WAY, 1" PIPE, 3/8" INLET</t>
  </si>
  <si>
    <t>41335-00</t>
  </si>
  <si>
    <t>COMBO-RATE AIR-OFF SADDLE BODY ASSY, ONE-WAY, 1" PIPE, 3/8" INLET</t>
  </si>
  <si>
    <t>41336-00</t>
  </si>
  <si>
    <t>COMBO-RATE AIR-OFF SADDLE BODY ASSY, TWO-WAY, 1" PIPE, 3/8" INLET</t>
  </si>
  <si>
    <t>41337-00</t>
  </si>
  <si>
    <t>COMBO-RATE SADDLE BODY ASSY, w/o NUT, ONE-WAY, 1" PIPE, 3/8" INLET</t>
  </si>
  <si>
    <t>41338-00</t>
  </si>
  <si>
    <t>COMBO-RATE SADDLE BODY ASSY, w/o NUT, TWO-WAY, 1" PIPE, 3/8" INLET</t>
  </si>
  <si>
    <t>41341-00</t>
  </si>
  <si>
    <t>COMBO-RATE DIAPHRAGM SADDLE BODY ASSY, ONE-WAY, 1" PIPE, 9/16" INLET</t>
  </si>
  <si>
    <t>41341-01</t>
  </si>
  <si>
    <t>COMBO-RATE DIAPHRAGM SADDLE BODY, ONE-WAY, 1" PIPE, 9/16" INLET</t>
  </si>
  <si>
    <t>41342-00</t>
  </si>
  <si>
    <t>COMBO-RATE DIAPHRAGM SADDLE BODY ASSY, TWO-WAY, 1" PIPE, 9/16" INLET</t>
  </si>
  <si>
    <t>41342-01</t>
  </si>
  <si>
    <t>COMBO-RATE DIAPHRAGM SADDLE BODY, TWO-WAY, 1" PIPE, 9/16" INLET</t>
  </si>
  <si>
    <t>41343-00</t>
  </si>
  <si>
    <t>COMBO-RATE MANUAL ON/OFF SADDLE BODY ASSY, ONE-WAY, 1" PIPE, 9/16" INLET</t>
  </si>
  <si>
    <t>41344-00</t>
  </si>
  <si>
    <t>COMBO-RATE MANUAL ON/OFF SADDLE BODY ASSY, TWO-WAY, 1" PIPE, 9/16" INLET</t>
  </si>
  <si>
    <t>41345-00</t>
  </si>
  <si>
    <t>COMBO-RATE AIR-OFF SADDLE BODY ASSY, ONE-WAY, 1" PIPE, 9/16" INLET</t>
  </si>
  <si>
    <t>41346-00</t>
  </si>
  <si>
    <t>COMBO-RATE AIR-OFF SADDLE BODY ASSY, TWO-WAY, 1" PIPE, 9/16" INLET</t>
  </si>
  <si>
    <t>41347-00</t>
  </si>
  <si>
    <t>COMBO-RATE SADDLE BODY ASSY, w/o NUT, ONE-WAY, 1" PIPE, 9/16" INLET</t>
  </si>
  <si>
    <t>41348-00</t>
  </si>
  <si>
    <t>COMBO-RATE SADDLE BODY ASSY, w/o NUT, TWO-WAY, 1" PIPE, 9/16" INLET</t>
  </si>
  <si>
    <t>41351-00</t>
  </si>
  <si>
    <t>COMBO-RATE DIAPHRAGM SADDLE BODY ASSY, ONE-WAY, 1" PIPE, KWIKSTOP INLET</t>
  </si>
  <si>
    <t>41351-01</t>
  </si>
  <si>
    <t>COMBO-RATE DIAPHRAGM SADDLE BODY, ONE-WAY, 1" PIPE, KWIKSTOP INLET</t>
  </si>
  <si>
    <t>41352-00</t>
  </si>
  <si>
    <t>COMBO-RATE DIAPHRAGM SADDLE BODY ASSY, TWO-WAY, 1" PIPE, KWIKSTOP INLET</t>
  </si>
  <si>
    <t>41352-01</t>
  </si>
  <si>
    <t>COMBO-RATE DIAPHRAGM SADDLE BODY, TWO-WAY, 1" PIPE, KWIKSTOP INLET</t>
  </si>
  <si>
    <t>41353-00</t>
  </si>
  <si>
    <t>COMBO-RATE MANUAL ON/OFF SADDLE BODY ASSY, ONE-WAY, 1" PIPE, KWIKSTOP INLET</t>
  </si>
  <si>
    <t>41354-00</t>
  </si>
  <si>
    <t>COMBO-RATE MANUAL ON/OFF SADDLE BODY ASSY, TWO-WAY, 1" PIPE, KWIKSTOP INLET</t>
  </si>
  <si>
    <t>41355-00</t>
  </si>
  <si>
    <t>COMBO-RATE AIR-OFF SADDLE BODY ASSY, ONE-WAY, 1" PIPE, KWIKSTOP INLET</t>
  </si>
  <si>
    <t>41356-00</t>
  </si>
  <si>
    <t>COMBO-RATE AIR-OFF SADDLE BODY ASSY, TWO-WAY, 1" PIPE, KWIKSTOP INLET</t>
  </si>
  <si>
    <t>41357-00</t>
  </si>
  <si>
    <t>COMBO-RATE SADDLE BODY ASSY, w/o NUT, ONE-WAY, 1" PIPE, KWIKSTOP INLET</t>
  </si>
  <si>
    <t>41358-00</t>
  </si>
  <si>
    <t>COMBO-RATE SADDLE BODY ASSY, w/o NUT, TWO-WAY, 1" PIPE, KWIKSTOP INLET</t>
  </si>
  <si>
    <t>41361-02</t>
  </si>
  <si>
    <t>41361-V2</t>
  </si>
  <si>
    <t>O-RING, VITON® , #115</t>
  </si>
  <si>
    <t>41362-00</t>
  </si>
  <si>
    <t>COMBO-RATE DIAPHRAGM SADDLE BODY ASSY, TWO-WAY, 1" PIPE, 21/32" INLET</t>
  </si>
  <si>
    <t>41362-01</t>
  </si>
  <si>
    <t>COMBO-RATE DIAPHRAGM SADDLE BODY, TWO-WAY, 1" PIPE, 21/32" INLET</t>
  </si>
  <si>
    <t>41364-00</t>
  </si>
  <si>
    <t>COMBO-RATE MANUAL ON/OFF SADDLE BODY ASSY, TWO-WAY, 1" PIPE, 21/32" INLET</t>
  </si>
  <si>
    <t>41366-00</t>
  </si>
  <si>
    <t>COMBO-RATE AIR-OFF SADDLE BODY ASSY, TWO-WAY, 1" PIPE, 21/32" INLET</t>
  </si>
  <si>
    <t>41368-00</t>
  </si>
  <si>
    <t>COMBO-RATE SADDLE BODY ASSY, w/o NUT, TWO-WAY, 1" PIPE, 21/32" INLET</t>
  </si>
  <si>
    <t>41371-00</t>
  </si>
  <si>
    <t>WET BOOM TOP/BOTTOM SADDLE ASSY, ONE-WAY, 1/2"PIPE</t>
  </si>
  <si>
    <t>41371-01</t>
  </si>
  <si>
    <t>WET BOOM TOP/BOTTOM SADDLE, ONE-WAY, 1/2"PIPE</t>
  </si>
  <si>
    <t>41372-00</t>
  </si>
  <si>
    <t>WET BOOM TOP/BOTTOM SADDLE ASSY, TWO-WAY, 1/2"PIPE</t>
  </si>
  <si>
    <t>41372-01</t>
  </si>
  <si>
    <t>WET BOOM TOP/BOTTOM SADDLE, TWO-WAY, 1/2"PIPE</t>
  </si>
  <si>
    <t>41374-00</t>
  </si>
  <si>
    <t>WET BOOM TOP/BOTTOM SADDLE ASSY, TWO-WAY, 3/4"PIPE</t>
  </si>
  <si>
    <t>41375-00</t>
  </si>
  <si>
    <t>WET BOOM TOP/BOTTOM SADDLE ASSY, ONE-WAY, 1"PIPE, 3/8" INLET</t>
  </si>
  <si>
    <t>41375-01</t>
  </si>
  <si>
    <t>WET BOOM TOP/BOTTOM SADDLE, ONE-WAY, 1"PIPE, 3/8" INLET</t>
  </si>
  <si>
    <t>41376-00</t>
  </si>
  <si>
    <t>WET BOOM TOP/BOTTOM SADDLE ASSY, TWO-WAY, 1"PIPE, 3/8" INLET</t>
  </si>
  <si>
    <t>41376-01</t>
  </si>
  <si>
    <t>WET BOOM TOP/BOTTOM SADDLE, TWO-WAY, 1"PIPE, 3/8" INLET</t>
  </si>
  <si>
    <t>41377-00</t>
  </si>
  <si>
    <t>WET BOOM TOP/BOTTOM SADDLE ASSY, ONE-WAY, 1"PIPE, 9/16" INLET</t>
  </si>
  <si>
    <t>41377-01</t>
  </si>
  <si>
    <t>WET BOOM TOP/BOTTOM SADDLE, ONE-WAY, 1"PIPE, 9/16" INLET</t>
  </si>
  <si>
    <t>41378-00</t>
  </si>
  <si>
    <t>WET BOOM TOP/BOTTOM SADDLE ASSY, TWO-WAY, 1"PIPE, 9/16" INLET</t>
  </si>
  <si>
    <t>41378-01</t>
  </si>
  <si>
    <t>WET BOOM TOP/BOTTOM SADDLE, TWO-WAY, 1"PIPE, 9/16" INLET</t>
  </si>
  <si>
    <t>41381-00</t>
  </si>
  <si>
    <t>COMBO-RATE DIAPHRAGM SADDLE BODY ASSY, ONE-WAY, 28mm PIPE, 3/8" INLET</t>
  </si>
  <si>
    <t>41381-02</t>
  </si>
  <si>
    <t>HINGED SADDLE CLAMP, 28MM, SMOOTH</t>
  </si>
  <si>
    <t>41382-00</t>
  </si>
  <si>
    <t>COMBO-RATE DIAPHRAGM SADDLE BODY ASSY, TWO-WAY, 28mm PIPE, 3/8" INLET</t>
  </si>
  <si>
    <t>41382-01</t>
  </si>
  <si>
    <t>COMBO-RATE DIAPHRAGM SADDLE BODY, TWO-WAY, 28mm PIPE, 3/8" INLET</t>
  </si>
  <si>
    <t>41383-00</t>
  </si>
  <si>
    <t>COMBO-RATE MANUAL ON/OFF SADDLE BODY ASSY, ONE-WAY, 28mm PIPE, 3/8" INLET</t>
  </si>
  <si>
    <t>41384-00</t>
  </si>
  <si>
    <t>COMBO-RATE MANUAL ON/OFF SADDLE BODY ASSY, TWO-WAY, 28mm PIPE, 3/8" INLET</t>
  </si>
  <si>
    <t>41385-00</t>
  </si>
  <si>
    <t>COMBO-RATE AIR-OFF SADDLE BODY ASSY, ONE-WAY, 28mm PIPE, 3/8" INLET</t>
  </si>
  <si>
    <t>41386-00</t>
  </si>
  <si>
    <t>COMBO-RATE AIR-OFF SADDLE BODY ASSY, TWO-WAY, 28mm PIPE, 3/8" INLET</t>
  </si>
  <si>
    <t>41387-00</t>
  </si>
  <si>
    <t>COMBO-RATE SADDLE BODY ASSY, w/o NUT, ONE-WAY, 28mm PIPE, 3/8" INLET</t>
  </si>
  <si>
    <t>41388-00</t>
  </si>
  <si>
    <t>COMBO-RATE SADDLE BODY ASSY, w/o NUT, TWO-WAY, 28mm PIPE, 3/8" INLET</t>
  </si>
  <si>
    <t>41400-00</t>
  </si>
  <si>
    <t>TWS TUBE END ADAPTER ASSY - 1.315" TUBE</t>
  </si>
  <si>
    <t>41400-01</t>
  </si>
  <si>
    <t>TUBE END SPLIT THREADED SLEEVE - 1.315"  TUBE (BOTH SIDES)</t>
  </si>
  <si>
    <t>41400-02</t>
  </si>
  <si>
    <t>BINDING RING for 1.315" TUBE</t>
  </si>
  <si>
    <t>41400-03</t>
  </si>
  <si>
    <t>THREADED NUT for 1.315" TUBE</t>
  </si>
  <si>
    <t>41400-04</t>
  </si>
  <si>
    <t>SPLIT THREADED SLEEVE A - 1.315" ID</t>
  </si>
  <si>
    <t>41400-05</t>
  </si>
  <si>
    <t>SPLIT THREADED SLEEVE B - 1.315" ID</t>
  </si>
  <si>
    <t>41401-01</t>
  </si>
  <si>
    <t>ADAPTER COUPLER BODY - TWS x 1 1/4" NPT FE</t>
  </si>
  <si>
    <t>41402-LV0</t>
  </si>
  <si>
    <t>TWS BOOM-END  FLUSH VALVE, VITON®  SEALS, LONG HANDLE</t>
  </si>
  <si>
    <t>41402-V0</t>
  </si>
  <si>
    <t>TWS BOOM-END  FLUSH VALVE, VITON®  SEALS</t>
  </si>
  <si>
    <t>41403-00</t>
  </si>
  <si>
    <t>ADAPTER - TWS BOOM-END  FLUSH VALVE TO 1" NPTF</t>
  </si>
  <si>
    <t>41403-V0</t>
  </si>
  <si>
    <t>ADAPTER KIT - TWS TO 1" NPTF ADAPTER W/ VITON®  O-RING</t>
  </si>
  <si>
    <t>41411-00</t>
  </si>
  <si>
    <t>COMBO-RATE DIAPHRAGM BOLT MOUNT SADDLE BODY ASSY, ONE-WAY, 1/2" PIPE</t>
  </si>
  <si>
    <t>41411-02</t>
  </si>
  <si>
    <t>UPPER CLAMP,HINGED,BOLT MOUNT,1/2" PIPE</t>
  </si>
  <si>
    <t>41412-00</t>
  </si>
  <si>
    <t>COMBO-RATE DIAPHRAGM BOLT MOUNT SADDLE BODY ASSY, TWO-WAY, 1/2" PIPE</t>
  </si>
  <si>
    <t>41413-00</t>
  </si>
  <si>
    <t>COMBO-RATE MANUAL ON/OFF BOLT MOUNT SADDLE BODY ASSY, ONE-WAY, 1/2" PIPE</t>
  </si>
  <si>
    <t>41414-00</t>
  </si>
  <si>
    <t>COMBO-RATE MANUAL ON/OFF BOLT MOUNT SADDLE BODY ASSY, TWO-WAY, 1/2" PIPE</t>
  </si>
  <si>
    <t>41415-00</t>
  </si>
  <si>
    <t>COMBO-RATE AIR-OFF BOLT MOUNT SADDLE BODY ASSY, ONE-WAY, 1/2" PIPE</t>
  </si>
  <si>
    <t>41416-00</t>
  </si>
  <si>
    <t>COMBO-RATE AIR-OFF BOLT MOUNT SADDLE BODY ASSY, TWO-WAY, 1/2" PIPE</t>
  </si>
  <si>
    <t>41417-00</t>
  </si>
  <si>
    <t>COMBO-RATE BOLT MOUNT SADDLE BODY ASSY, w/o NUT, ONE-WAY, 1/2" PIPE</t>
  </si>
  <si>
    <t>41418-00</t>
  </si>
  <si>
    <t>COMBO-RATE BOLT MOUNT SADDLE BODY ASSY, w/o NUT, TWO-WAY, 1/2" PIPE</t>
  </si>
  <si>
    <t>41421-00</t>
  </si>
  <si>
    <t>COMBO-RATE DIAPHRAGM SADDLE BODY ASSY, ONE-WAY, 3/4" PIPE, BOLT MOUNT</t>
  </si>
  <si>
    <t>41421-02</t>
  </si>
  <si>
    <t>UPPER CLAMP,HINGED,BOLT MOUNT,3/4" PIPE</t>
  </si>
  <si>
    <t>41422-00</t>
  </si>
  <si>
    <t>COMBO-RATE DIAPHRAGM SADDLE BODY ASSY, TWO-WAY, 3/4" PIPE, BOLT MOUNT</t>
  </si>
  <si>
    <t>41422-01</t>
  </si>
  <si>
    <t>COMBO-RATE DIAPHRAGM SADDLE BODY, TWO-WAY, 3/4" PIPE, BOLT MOUNT</t>
  </si>
  <si>
    <t>41423-00</t>
  </si>
  <si>
    <t>COMBO-RATE MANUAL ON/OFF SADDLE BODY ASSY, ONE-WAY, 3/4" PIPE, BOLT MOUNT</t>
  </si>
  <si>
    <t>41424-00</t>
  </si>
  <si>
    <t>COMBO-RATE MANUAL ON/OFF SADDLE BODY ASSY, TWO-WAY, 3/4" PIPE, BOLT MOUNT</t>
  </si>
  <si>
    <t>41425-00</t>
  </si>
  <si>
    <t>COMBO-RATE AIR-OFF SADDLE BODY ASSY, ONE-WAY, 3/4" PIPE, BOLT MOUNT</t>
  </si>
  <si>
    <t>41426-00</t>
  </si>
  <si>
    <t>COMBO-RATE AIR-OFF SADDLE BODY ASSY, TWO-WAY, 3/4" PIPE, BOLT MOUNT</t>
  </si>
  <si>
    <t>41427-00</t>
  </si>
  <si>
    <t>COMBO-RATE SADDLE BODY ASSY, FOR CAPSTAN w/o NUT, ONE-WAY, 3/4" PIPE, BOLT MOUNT</t>
  </si>
  <si>
    <t>41428-00</t>
  </si>
  <si>
    <t>COMBO-RATE SADDLE BODY ASSY, FOR CAPSTAN w/o NUT, TWO-WAY, 3/4" PIPE, BOLT MOUNT</t>
  </si>
  <si>
    <t>41431-00</t>
  </si>
  <si>
    <t>COMBO-RATE DIAPHRAGM BOLT MOUNT SADDLE BODY ASSY, ONE-WAY, 1" PIPE, 3/8" INLET</t>
  </si>
  <si>
    <t>41431-02</t>
  </si>
  <si>
    <t>UPPER CLAMP,HINGED,BOLT MOUNT,1" PIPE</t>
  </si>
  <si>
    <t>41432-00</t>
  </si>
  <si>
    <t>COMBO-RATE DIAPHRAGM BOLT MOUNT SADDLE BODY ASSY, TWO-WAY, 1" PIPE, 3/8" INLET</t>
  </si>
  <si>
    <t>41433-00</t>
  </si>
  <si>
    <t>COMBO-RATE MANUAL ON/OFF BOLT MOUNT SADDLE BODY ASSY, ONE-WAY, 1" PIPE, 3/8" INLET</t>
  </si>
  <si>
    <t>41434-00</t>
  </si>
  <si>
    <t>COMBO-RATE MANUAL ON/OFF BOLT MOUNT SADDLE BODY ASSY, TWO-WAY, 1" PIPE, 3/8" INLET</t>
  </si>
  <si>
    <t>41435-00</t>
  </si>
  <si>
    <t>COMBO-RATE AIR-OFF BOLT MOUNT SADDLE BODY ASSY, ONE-WAY, 1" PIPE, 3/8" INLET</t>
  </si>
  <si>
    <t>41436-00</t>
  </si>
  <si>
    <t>COMBO-RATE AIR-OFF BOLT MOUNT SADDLE BODY ASSY, TWO-WAY, 1" PIPE, 3/8" INLET</t>
  </si>
  <si>
    <t>41437-00</t>
  </si>
  <si>
    <t>COMBO-RATE BOLT MOUNT SADDLE BODY ASSY, w/o NUT, ONE-WAY, 1" PIPE, 3/8" INLET</t>
  </si>
  <si>
    <t>41438-00</t>
  </si>
  <si>
    <t>COMBO-RATE BOLT MOUNT SADDLE BODY ASSY, w/o NUT, TWO-WAY, 1" PIPE, 3/8" INLET</t>
  </si>
  <si>
    <t>41441-00</t>
  </si>
  <si>
    <t>COMBO-RATE DIAPHRAGM BOLT MOUNT SADDLE BODY ASSY, ONE-WAY, 1" PIPE, 9/16" INLET</t>
  </si>
  <si>
    <t>41442-00</t>
  </si>
  <si>
    <t>COMBO-RATE DIAPHRAGM BOLT MOUNT SADDLE BODY ASSY, TWO-WAY, 1" PIPE, 9/16" INLET</t>
  </si>
  <si>
    <t>41443-00</t>
  </si>
  <si>
    <t>COMBO-RATE MANUAL ON/OFF BOLT MOUNT SADDLE BODY ASSY, ONE-WAY, 1" PIPE, 9/16" INLET</t>
  </si>
  <si>
    <t>41444-00</t>
  </si>
  <si>
    <t>COMBO-RATE MANUAL ON/OFF BOLT MOUNT SADDLE BODY ASSY, TWO-WAY, 1" PIPE, 9/16" INLET</t>
  </si>
  <si>
    <t>41445-00</t>
  </si>
  <si>
    <t>COMBO-RATE AIR-OFF BOLT MOUNT SADDLE BODY ASSY, ONE-WAY, 1" PIPE, 9/16" INLET</t>
  </si>
  <si>
    <t>41446-00</t>
  </si>
  <si>
    <t>COMBO-RATE AIR-OFF BOLT MOUNT SADDLE BODY ASSY, TWO-WAY, 1" PIPE, 9/16" INLET</t>
  </si>
  <si>
    <t>41447-00</t>
  </si>
  <si>
    <t>COMBO-RATE BOLT MOUNT SADDLE BODY ASSY, w/o NUT, ONE-WAY, 1" PIPE, 9/16" INLET</t>
  </si>
  <si>
    <t>41448-00</t>
  </si>
  <si>
    <t>COMBO-RATE BOLT MOUNT SADDLE BODY ASSY, w/o NUT, TWO-WAY, 1" PIPE, 9/16" INLET</t>
  </si>
  <si>
    <t>41451-00</t>
  </si>
  <si>
    <t>COMBO-RATE DIAPHRAGM BOLT MOUNT SADDLE BODY ASSY, ONE-WAY, 1" PIPE, KWIKSTOP INLET</t>
  </si>
  <si>
    <t>41452-00</t>
  </si>
  <si>
    <t>COMBO-RATE DIAPHRAGM BOLT MOUNT SADDLE BODY ASSY, TWO-WAY, 1" PIPE, KWIKSTOP INLET</t>
  </si>
  <si>
    <t>41453-00</t>
  </si>
  <si>
    <t>COMBO-RATE MANUAL ON/OFF BOLT MOUNT SADDLE BODY ASSY, ONE-WAY, 1" PIPE, KWIKSTOP INLET</t>
  </si>
  <si>
    <t>41454-00</t>
  </si>
  <si>
    <t>COMBO-RATE MANUAL ON/OFF BOLT MOUNT SADDLE BODY ASSY, TWO-WAY, 1" PIPE, KWIKSTOP INLET</t>
  </si>
  <si>
    <t>41455-00</t>
  </si>
  <si>
    <t>COMBO-RATE AIR-OFF BOLT MOUNT SADDLE BODY ASSY, ONE-WAY, 1" PIPE, KWIKSTOP INLET</t>
  </si>
  <si>
    <t>41456-00</t>
  </si>
  <si>
    <t>COMBO-RATE AIR-OFF BOLT MOUNT SADDLE BODY ASSY, TWO-WAY, 1" PIPE, KWIKSTOP INLET</t>
  </si>
  <si>
    <t>41457-00</t>
  </si>
  <si>
    <t>COMBO-RATE BOLT MOUNT SADDLE BODY ASSY, w/o NUT, ONE-WAY, 1" PIPE, KWIKSTOP INLET</t>
  </si>
  <si>
    <t>41458-00</t>
  </si>
  <si>
    <t>COMBO-RATE BOLT MOUNT SADDLE BODY ASSY, w/o NUT, TWO-WAY, 1" PIPE, KWIKSTOP INLET</t>
  </si>
  <si>
    <t>41462-00</t>
  </si>
  <si>
    <t>COMBO-RATE BOLT MOUNT DIAPHRAGM SADDLE BODY ASSY, TWO-WAY, 1" PIPE, 21/32" INLET</t>
  </si>
  <si>
    <t>41464-00</t>
  </si>
  <si>
    <t>COMBO-RATE  BOLT MOUNT MANUAL ON/OFF SADDLE BODY ASSY, TWO-WAY, 1" PIPE, 21/32" INLET</t>
  </si>
  <si>
    <t>41466-00</t>
  </si>
  <si>
    <t>COMBO-RATE  BOLT MOUNT AIR-OFF SADDLE BODY ASSY, TWO-WAY, 1" PIPE, 21/32" INLET</t>
  </si>
  <si>
    <t>41468-00</t>
  </si>
  <si>
    <t>COMBO-RATE  BOLT MOUNT SADDLE BODY ASSY, w/o NUT, TWO-WAY, 1" PIPE, 21/32" INLET</t>
  </si>
  <si>
    <t>41471-00</t>
  </si>
  <si>
    <t>WET BOOM BOLT MOUNT, TOP/BOT SADDLE ASSY, ONE-WAY, 1/2"PIPE</t>
  </si>
  <si>
    <t>41472-00</t>
  </si>
  <si>
    <t>WET BOOM BOLT MOUNT, TOP/BOT SADDLE ASSY, TWO-WAY, 1/2"PIPE</t>
  </si>
  <si>
    <t>41473-00</t>
  </si>
  <si>
    <t>WET BOOM BOLT MOUNT, TOP/BOT SADDLE ASSY, ONE-WAY, 3/4"PIPE</t>
  </si>
  <si>
    <t>41474-00</t>
  </si>
  <si>
    <t>WET BOOM BOLT MOUNT, TOP/BOT SADDLE ASSY, TWO-WAY, 3/4"PIPE</t>
  </si>
  <si>
    <t>41475-00</t>
  </si>
  <si>
    <t>WET BOOM BOLT MOUNT, TOP/BOT SADDLE ASSY, ONE-WAY, 1"PIPE, 3/8" INLET</t>
  </si>
  <si>
    <t>41476-00</t>
  </si>
  <si>
    <t>WET BOOM BOLT MOUNT, TOP/BOT SADDLE ASSY, TWO-WAY, 1"PIPE, 3/8" INLET</t>
  </si>
  <si>
    <t>41477-00</t>
  </si>
  <si>
    <t>WET BOOM BOLT MOUNT, TOP/BOT SADDLE ASSY, ONE-WAY, 1"PIPE, 9/16" INLET</t>
  </si>
  <si>
    <t>41478-00</t>
  </si>
  <si>
    <t>WET BOOM BOLT MOUNT, TOP/BOT SADDLE ASSY, TWO-WAY, 1"PIPE, 9/16" INLET</t>
  </si>
  <si>
    <t>41481-00</t>
  </si>
  <si>
    <t>COMBO-RATE BOLT MOUNT DIAPHRAGM SADDLE BODY ASSY, ONE-WAY, 28mm PIPE, 3/8" INLET</t>
  </si>
  <si>
    <t>41481-02</t>
  </si>
  <si>
    <t>HINGED SADDLE CLAMP, 28MM, BOLT MOUNT</t>
  </si>
  <si>
    <t>41482-00</t>
  </si>
  <si>
    <t>COMBO-RATE BOLT MOUNT DIAPHRAGM SADDLE BODY ASSY, TWO-WAY, 28mm PIPE, 3/8" INLET</t>
  </si>
  <si>
    <t>41482-01</t>
  </si>
  <si>
    <t>COMBO-RATE BOLT MOUNT DIAPHRAGM SADDLE BODY, TWO-WAY, 28mm PIPE, 3/8" INLET</t>
  </si>
  <si>
    <t>41483-00</t>
  </si>
  <si>
    <t>COMBO-RATE  BOLT MOUNT MANUAL ON/OFF SADDLE BODY ASSY, ONE-WAY, 28mm PIPE, 3/8" INLET</t>
  </si>
  <si>
    <t>41484-00</t>
  </si>
  <si>
    <t>COMBO-RATE BOLT MOUNT MANUAL ON/OFF SADDLE BODY ASSY, TWO-WAY, 28mm PIPE, 3/8" INLET</t>
  </si>
  <si>
    <t>41485-00</t>
  </si>
  <si>
    <t>COMBO-RATE BOLT MOUNT AIR-OFF SADDLE BODY ASSY, ONE-WAY, 28mm PIPE, 3/8" INLET</t>
  </si>
  <si>
    <t>41486-00</t>
  </si>
  <si>
    <t>COMBO-RATE BOLT MOUNT AIR-OFF SADDLE BODY ASSY, TWO-WAY, 28mm PIPE, 3/8" INLET</t>
  </si>
  <si>
    <t>41487-00</t>
  </si>
  <si>
    <t>COMBO-RATE BOLT MOUNT SADDLE BODY ASSY, w/o NUT, ONE-WAY, 28mm PIPE, 3/8" INLET</t>
  </si>
  <si>
    <t>41488-00</t>
  </si>
  <si>
    <t>COMBO-RATE BOLT MOUNT SADDLE BODY ASSY, w/o NUT, TWO-WAY, 28mm PIPE, 3/8" INLET</t>
  </si>
  <si>
    <t>41502-00</t>
  </si>
  <si>
    <t>COMBO-RATE 2 HEAD TURRET BODY, DIAPHRAGM CHECK ASSY</t>
  </si>
  <si>
    <t>41502-01</t>
  </si>
  <si>
    <t>COMBO-RATE TURRET BASE, DIAPHRAGM CHECK</t>
  </si>
  <si>
    <t>41502-02</t>
  </si>
  <si>
    <t>COMBO-RATE TURRET HUB</t>
  </si>
  <si>
    <t>41502-03</t>
  </si>
  <si>
    <t>COMBO-RATE TURRET HUB LOCK RING</t>
  </si>
  <si>
    <t>41502-04</t>
  </si>
  <si>
    <t>COMBO-RATE RADIALOCK TURRET OUTLET</t>
  </si>
  <si>
    <t>41502-05</t>
  </si>
  <si>
    <t>COMBO-RATE TURRET OFF PLUG</t>
  </si>
  <si>
    <t>41502-06</t>
  </si>
  <si>
    <t>41502-09</t>
  </si>
  <si>
    <t>TURRET SPRING CLIP</t>
  </si>
  <si>
    <t>41502-10</t>
  </si>
  <si>
    <t>SQUARE LUG TURRET OUTLET</t>
  </si>
  <si>
    <t>41502-11</t>
  </si>
  <si>
    <t>41502-12</t>
  </si>
  <si>
    <t xml:space="preserve">COMBO-RATE TURRET BODY REPAIR KIT (2 BODIES) - VITON® </t>
  </si>
  <si>
    <t>41502-13</t>
  </si>
  <si>
    <t>COMBO-RATE RADIALOCK TURRET DOUBLE-DOWN OUTLET</t>
  </si>
  <si>
    <t>41502-V6</t>
  </si>
  <si>
    <t>O-RING - VITON®  #121</t>
  </si>
  <si>
    <t>41503-00</t>
  </si>
  <si>
    <t>COMBO-RATE 3 HEAD TURRET BODY, DIAPHRAGM CHECK ASSY</t>
  </si>
  <si>
    <t>41504-00</t>
  </si>
  <si>
    <t>COMBO-RATE 4 HEAD TURRET BODY, DIAPHRAGM CHECK ASSY</t>
  </si>
  <si>
    <t>41505-00</t>
  </si>
  <si>
    <t>COMBO-RATE 5 HEAD TURRET BODY, DIAPHRAGM CHECK ASSY</t>
  </si>
  <si>
    <t>41505-23</t>
  </si>
  <si>
    <t>COMBO-RATE 2CR/3SL HEAD TURRET BODY, DIAPHRAGM CHECK ASSY</t>
  </si>
  <si>
    <t>41505-32</t>
  </si>
  <si>
    <t>COMBO-RATE 3CR/2SL HEAD TURRET BODY, DIAPHRAGM CHECK ASSY</t>
  </si>
  <si>
    <t>41506-00</t>
  </si>
  <si>
    <t>COMBO-RATE DOUBLE-DOWN TURRET BODY, 4+1DD, DIAPHRAGM CHECK ASSY</t>
  </si>
  <si>
    <t>41512-00</t>
  </si>
  <si>
    <t>COMBO-RATE 2 HEAD TURRET DIA BODY, MANUAL ON/OFF ASSY</t>
  </si>
  <si>
    <t>41513-00</t>
  </si>
  <si>
    <t>COMBO-RATE 3 HEAD TURRET DIA BODY, MANUAL ON/OFF ASSY</t>
  </si>
  <si>
    <t>41514-00</t>
  </si>
  <si>
    <t>COMBO-RATE 4 HEAD TURRET DIA BODY, MANUAL ON/OFF ASSY</t>
  </si>
  <si>
    <t>41515-00</t>
  </si>
  <si>
    <t>COMBO-RATE 5 HEAD TURRET DIA BODY, MANUAL ON/OFF ASSY</t>
  </si>
  <si>
    <t>41515-23</t>
  </si>
  <si>
    <t>COMBO-RATE 2CR/3SL HEAD TURRET DIA BODY, MANUAL ON/OFF ASSY</t>
  </si>
  <si>
    <t>41515-32</t>
  </si>
  <si>
    <t>COMBO-RATE 3CR/2SL HEAD TURRET DIA BODY, MANUAL ON/OFF ASSY</t>
  </si>
  <si>
    <t>41516-00</t>
  </si>
  <si>
    <t>COMBO-RATE DOUBLE-DOWN TURRET BODY, 4+1DD, MANUAL ON/OFF ASSY</t>
  </si>
  <si>
    <t>41533-00</t>
  </si>
  <si>
    <t>COMBO-RATE 3 HEAD TURRET BODY, w/o NUT</t>
  </si>
  <si>
    <t>41534-00</t>
  </si>
  <si>
    <t>COMBO-RATE 4 HEAD TURRET BODY, w/o NUT</t>
  </si>
  <si>
    <t>41535-00</t>
  </si>
  <si>
    <t>COMBO-RATE 5 HEAD TURRET BODY, w/o NUT</t>
  </si>
  <si>
    <t>41535-23</t>
  </si>
  <si>
    <t>COMBO-RATE 2CR/3SL HEAD TURRET BODY, w/o NUT</t>
  </si>
  <si>
    <t>41535-32</t>
  </si>
  <si>
    <t>COMBO-RATE 3CR/2SL HEAD TURRET BODY, w/o NUT</t>
  </si>
  <si>
    <t>41536-00</t>
  </si>
  <si>
    <t>COMBO-RATE DOUBLE-DOWN TURRET BODY, 4+1DD, w/o NUT</t>
  </si>
  <si>
    <t>41543-00</t>
  </si>
  <si>
    <t>COMBO-RATE 3 HEAD TURRET BODY, AIR-OFF ASSY</t>
  </si>
  <si>
    <t>41544-00</t>
  </si>
  <si>
    <t>COMBO-RATE 4 HEAD TURRET BODY, AIR-OFF ASSY</t>
  </si>
  <si>
    <t>41545-00</t>
  </si>
  <si>
    <t>COMBO-RATE 5 HEAD TURRET BODY, AIR-OFF ASSY</t>
  </si>
  <si>
    <t>41545-23</t>
  </si>
  <si>
    <t>COMBO-RATE 2CR/3SL HEAD TURRET BODY, AIR-OFF ASSY</t>
  </si>
  <si>
    <t>41545-32</t>
  </si>
  <si>
    <t>COMBO-RATE 3CR/2SL HEAD TURRET BODY, AIR-OFF ASSY</t>
  </si>
  <si>
    <t>41546-00</t>
  </si>
  <si>
    <t>COMBO-RATE DOUBLE-DOWN TURRET BODY, 4+1DD, AIR-OFF ASSY</t>
  </si>
  <si>
    <t>41580-00</t>
  </si>
  <si>
    <t>BOOM MOUNT CLAMP - POLYGLASS - 0.840" ID</t>
  </si>
  <si>
    <t>41590-00</t>
  </si>
  <si>
    <t>BOOM MOUNT CLAMP - POLYGLASS - 1.25" ID</t>
  </si>
  <si>
    <t>41591-00</t>
  </si>
  <si>
    <t>BOOM MOUNT CLAMP - POLYGLASS - 1.315" ID</t>
  </si>
  <si>
    <t>41602-01</t>
  </si>
  <si>
    <t>COMBO-RATE SIDE TURRET BASE, SUB ASSY</t>
  </si>
  <si>
    <t>41602-02</t>
  </si>
  <si>
    <t>COMBO-RATE SIDE TURRET BASE</t>
  </si>
  <si>
    <t>41602-03</t>
  </si>
  <si>
    <t>COMBO-RATE SIDE TURRET CORE</t>
  </si>
  <si>
    <t>41602-04</t>
  </si>
  <si>
    <t>COMBO-RATE SIDE TURRET FACE PLATE</t>
  </si>
  <si>
    <t>41602-05</t>
  </si>
  <si>
    <t>SCREW, #4-1/2", PHILLIPS, SS</t>
  </si>
  <si>
    <t>41603-00</t>
  </si>
  <si>
    <t>COMBO-RATE 3 HEAD SIDE TURRET ASSY, DIAPHRAGM CHECK ASSY</t>
  </si>
  <si>
    <t>41604-00</t>
  </si>
  <si>
    <t>COMBO-RATE 4 HEAD SIDE TURRET ASSY, DIAPHRAGM CHECK ASSY</t>
  </si>
  <si>
    <t>41605-00</t>
  </si>
  <si>
    <t>COMBO-RATE 5 HEAD SIDE TURRET ASSY, DIAPHRAGM CHECK ASSY</t>
  </si>
  <si>
    <t>41605-23</t>
  </si>
  <si>
    <t>COMBO-RATE 2CR/3SL HEAD SIDE TURRET ASSY, DIAPHRAGM CHECK ASSY</t>
  </si>
  <si>
    <t>41605-32</t>
  </si>
  <si>
    <t>COMBO-RATE 3CR/2SL HEAD SIDE TURRET ASSY, DIAPHRAGM CHECK ASSY</t>
  </si>
  <si>
    <t>41606-00</t>
  </si>
  <si>
    <t>COMBO-RATE DOUBLE-DOWN SIDE TURRET ASSY,3+1DD, DIAPHRAGM CHECK ASSY</t>
  </si>
  <si>
    <t>41613-00</t>
  </si>
  <si>
    <t>COMBO-RATE 3 HEAD SIDE TURRET DIA ASSY, MANUAL ON/OFF ASSY</t>
  </si>
  <si>
    <t>41614-00</t>
  </si>
  <si>
    <t>COMBO-RATE 4 HEAD SIDE TURRET DIA ASSY, MANUAL ON/OFF ASSY</t>
  </si>
  <si>
    <t>41615-00</t>
  </si>
  <si>
    <t>COMBO-RATE 5 HEAD vTURRET DIA ASSY, MANUAL ON/OFF ASSY</t>
  </si>
  <si>
    <t>41615-23</t>
  </si>
  <si>
    <t>COMBO-RATE 2CR/3SL HEAD SIDE TURRET DIA ASSY, MANUAL ON/OFF ASSY</t>
  </si>
  <si>
    <t>41615-32</t>
  </si>
  <si>
    <t>COMBO-RATE 3CR/2SL HEAD SIDE TURRET DIA ASSY, MANUAL ON/OFF ASSY</t>
  </si>
  <si>
    <t>41616-00</t>
  </si>
  <si>
    <t>COMBO-RATE DOUBLE-DOWN SIDE TURRET ASSY,3+1DD, MANUAL ON/OFF ASSY</t>
  </si>
  <si>
    <t>41633-00</t>
  </si>
  <si>
    <t>COMBO-RATE 3 HEAD SIDE TURRET ASSY, w/o NUT</t>
  </si>
  <si>
    <t>41634-00</t>
  </si>
  <si>
    <t>COMBO-RATE 4 HEAD SIDE TURRET ASSY, w/o NUT</t>
  </si>
  <si>
    <t>41635-00</t>
  </si>
  <si>
    <t>COMBO-RATE 5 HEAD SIDE TURRET ASSY, w/o NUT</t>
  </si>
  <si>
    <t>41635-23</t>
  </si>
  <si>
    <t>COMBO-RATE 2CR/3SL HEAD SIDE TURRET ASSY, w/o NUT</t>
  </si>
  <si>
    <t>41635-32</t>
  </si>
  <si>
    <t>COMBO-RATE 3CR/2SL HEAD SIDE TURRET ASSY, w/o NUT</t>
  </si>
  <si>
    <t>41636-00</t>
  </si>
  <si>
    <t>COMBO-RATE DOUBLE-DOWN SIDE TURRET ASSY,3+1DD,  w/o NUT</t>
  </si>
  <si>
    <t>41643-00</t>
  </si>
  <si>
    <t>COMBO-RATE 3 HEAD SIDE TURRET ASSY, AIR-OFF ASSY</t>
  </si>
  <si>
    <t>41644-00</t>
  </si>
  <si>
    <t>COMBO-RATE 4 HEAD SIDE TURRET ASSY, AIR-OFF ASSY</t>
  </si>
  <si>
    <t>41645-00</t>
  </si>
  <si>
    <t>COMBO-RATE 5 HEAD SIDE TURRET ASSY, AIR-OFF ASSY</t>
  </si>
  <si>
    <t>41646-00</t>
  </si>
  <si>
    <t>COMBO-RATE DOUBLE-DOWN SIDE TURRET ASSY,3+1DD, AIR-OFF ASSY</t>
  </si>
  <si>
    <t>41700-02</t>
  </si>
  <si>
    <t>BOOM TUBE, 1.315" OD, QN RIB, 2-HOLE STD 20" SPACING</t>
  </si>
  <si>
    <t>41700-03</t>
  </si>
  <si>
    <t>BOOM TUBE, 1.315" OD, QN RIB, 3-HOLE STD 20" SPACING</t>
  </si>
  <si>
    <t>41700-04</t>
  </si>
  <si>
    <t>BOOM TUBE, 1.315" OD, QN RIB, 4-HOLE STD 20" SPACING</t>
  </si>
  <si>
    <t>41700-05</t>
  </si>
  <si>
    <t>BOOM TUBE, 1.315" OD, QN RIB, 5-HOLE STD 20" SPACING</t>
  </si>
  <si>
    <t>41700-06</t>
  </si>
  <si>
    <t>BOOM TUBE, 1.315" OD, QN RIB, 6-HOLE STD 20" SPACING</t>
  </si>
  <si>
    <t>41700-07</t>
  </si>
  <si>
    <t>BOOM TUBE, 1.315" OD, QN RIB, 7-HOLE STD 20" SPACING</t>
  </si>
  <si>
    <t>41700-08</t>
  </si>
  <si>
    <t>BOOM TUBE, 1.315" OD, QN RIB, 8-HOLE STD 20" SPACING</t>
  </si>
  <si>
    <t>41700-09</t>
  </si>
  <si>
    <t>BOOM TUBE, 1.315" OD, QN RIB, 9-HOLE STD 20" SPACING</t>
  </si>
  <si>
    <t>41700-10</t>
  </si>
  <si>
    <t>BOOM TUBE, 1.315" OD, QN RIB, 10-HOLE STD 20" SPACING</t>
  </si>
  <si>
    <t>41700-11</t>
  </si>
  <si>
    <t>BOOM TUBE, 1.315" OD, QN RIB, 11-HOLE STD 20" SPACING</t>
  </si>
  <si>
    <t>41700-12</t>
  </si>
  <si>
    <t>BOOM TUBE, 1.315" OD, QN RIB, 12-HOLE STD 20" SPACING</t>
  </si>
  <si>
    <t>41701-02</t>
  </si>
  <si>
    <t>BOOM TUBE, 1.315" OD, QN RIB, 2-HOLE, 2,8" ENDS 20" SPACING</t>
  </si>
  <si>
    <t>41701-03</t>
  </si>
  <si>
    <t>BOOM TUBE, 1.315" OD, QN RIB, 3-HOLE, 2,8" ENDS 20" SPACING</t>
  </si>
  <si>
    <t>41701-04</t>
  </si>
  <si>
    <t>BOOM TUBE, 1.315" OD, QN RIB, 4-HOLE, 2,8" ENDS 20" SPACING</t>
  </si>
  <si>
    <t>41701-05</t>
  </si>
  <si>
    <t>BOOM TUBE, 1.315" OD, QN RIB, 5-HOLE, 2,8" ENDS 20" SPACING</t>
  </si>
  <si>
    <t>41701-06</t>
  </si>
  <si>
    <t>BOOM TUBE, 1.315" OD, QN RIB, 6-HOLE, 2,8" ENDS 20" SPACING</t>
  </si>
  <si>
    <t>41701-07</t>
  </si>
  <si>
    <t>BOOM TUBE, 1.315" OD, QN RIB, 7-HOLE, 2,8" ENDS 20" SPACING</t>
  </si>
  <si>
    <t>41701-08</t>
  </si>
  <si>
    <t>BOOM TUBE, 1.315" OD, QN RIB, 8-HOLE, 2,8" ENDS 20" SPACING</t>
  </si>
  <si>
    <t>41701-09</t>
  </si>
  <si>
    <t>BOOM TUBE, 1.315" OD, QN RIB, 9-HOLE, 2,8" ENDS 20" SPACING</t>
  </si>
  <si>
    <t>41701-10</t>
  </si>
  <si>
    <t>BOOM TUBE, 1.315" OD, QN RIB, 10-HOLE, 2,8" ENDS 20" SPACING</t>
  </si>
  <si>
    <t>41701-11</t>
  </si>
  <si>
    <t>BOOM TUBE, 1.315" OD, QN RIB, 11-HOLE, 2,8" ENDS 20" SPACING</t>
  </si>
  <si>
    <t>41710-02</t>
  </si>
  <si>
    <t>BOOM TUBE, 0.840" OD, QN RIB, 2-HOLE STD 20" SPACING</t>
  </si>
  <si>
    <t>41710-03</t>
  </si>
  <si>
    <t>BOOM TUBE, 0.840" OD, QN RIB, 3-HOLE STD 20" SPACING</t>
  </si>
  <si>
    <t>41710-04</t>
  </si>
  <si>
    <t>BOOM TUBE, 0.840" OD, QN RIB, 4-HOLE STD 20" SPACING</t>
  </si>
  <si>
    <t>41710-05</t>
  </si>
  <si>
    <t>BOOM TUBE, 0.840" OD, QN RIB, 5-HOLE STD 20" SPACING</t>
  </si>
  <si>
    <t>41710-06</t>
  </si>
  <si>
    <t>BOOM TUBE, 0.840" OD, QN RIB, 6-HOLE STD 20" SPACING</t>
  </si>
  <si>
    <t>41710-07</t>
  </si>
  <si>
    <t>BOOM TUBE, 0.840" OD, QN RIB, 7-HOLE STD 20" SPACING</t>
  </si>
  <si>
    <t>41710-08</t>
  </si>
  <si>
    <t>BOOM TUBE, 0.840" OD, QN RIB, 8-HOLE STD 20" SPACING</t>
  </si>
  <si>
    <t>41710-09</t>
  </si>
  <si>
    <t>BOOM TUBE, 0.840" OD, QN RIB, 9-HOLE STD 20" SPACING</t>
  </si>
  <si>
    <t>41710-10</t>
  </si>
  <si>
    <t>BOOM TUBE, 0.840" OD, QN RIB, 10-HOLE STD 20" SPACING</t>
  </si>
  <si>
    <t>41710-11</t>
  </si>
  <si>
    <t>BOOM TUBE, 0.840" OD, QN RIB, 11-HOLE STD 20" SPACING</t>
  </si>
  <si>
    <t>41710-12</t>
  </si>
  <si>
    <t>BOOM TUBE, 0.840" OD, QN RIB, 12-HOLE STD 20" SPACING</t>
  </si>
  <si>
    <t>41711-02</t>
  </si>
  <si>
    <t>BOOM TUBE, 0.840" OD, QN RIB, 2-HOLE, 2,8" ENDS 20" SPACING</t>
  </si>
  <si>
    <t>41711-03</t>
  </si>
  <si>
    <t>BOOM TUBE, 0.840" OD, QN RIB, 3-HOLE, 2,8" ENDS 20" SPACING</t>
  </si>
  <si>
    <t>41711-04</t>
  </si>
  <si>
    <t>BOOM TUBE, 0.840" OD, QN RIB, 4-HOLE, 2,8" ENDS 20" SPACING</t>
  </si>
  <si>
    <t>41711-05</t>
  </si>
  <si>
    <t>BOOM TUBE, 0.840" OD, QN RIB, 5-HOLE, 2,8" ENDS 20" SPACING</t>
  </si>
  <si>
    <t>41711-06</t>
  </si>
  <si>
    <t>BOOM TUBE, 0.840" OD, QN RIB, 6-HOLE, 2,8" ENDS 20" SPACING</t>
  </si>
  <si>
    <t>41711-07</t>
  </si>
  <si>
    <t>BOOM TUBE, 0.840" OD, QN RIB, 7-HOLE, 2,8" ENDS 20" SPACING</t>
  </si>
  <si>
    <t>41711-08</t>
  </si>
  <si>
    <t>BOOM TUBE, 0.840" OD, QN RIB, 8-HOLE, 2,8" ENDS 20" SPACING</t>
  </si>
  <si>
    <t>41711-09</t>
  </si>
  <si>
    <t>BOOM TUBE, 0.840" OD, QN RIB, 9-HOLE, 2,8" ENDS 20" SPACING</t>
  </si>
  <si>
    <t>41711-10</t>
  </si>
  <si>
    <t>BOOM TUBE, 0.840" OD, QN RIB, 10-HOLE, 2,8" ENDS 20" SPACING</t>
  </si>
  <si>
    <t>41711-11</t>
  </si>
  <si>
    <t>BOOM TUBE, 0.840" OD, QN RIB, 11-HOLE, 2,8" ENDS 20" SPACING</t>
  </si>
  <si>
    <t>41802-00</t>
  </si>
  <si>
    <t>COMBO-RATE 2 HEAD TOP TAKE OFF TURRET BODY, DIAPHRAGM CHECK ASSY</t>
  </si>
  <si>
    <t>41802-01</t>
  </si>
  <si>
    <t>COMBO-RATE TOP TAKE OFF TURRET BASE, SUB ASSY</t>
  </si>
  <si>
    <t>41802-02</t>
  </si>
  <si>
    <t>COMBO-RATE TOP TAKE OFF TURRET BASE</t>
  </si>
  <si>
    <t>41802-03</t>
  </si>
  <si>
    <t>COMBO-RATE TOP TAKE OFF TURRET FACE PLATE</t>
  </si>
  <si>
    <t>41802-04</t>
  </si>
  <si>
    <t>O-RING, FKM, #009</t>
  </si>
  <si>
    <t>41803-00</t>
  </si>
  <si>
    <t>COMBO-RATE 3 HEAD TOP TAKE OFF TURRET ASSY, DIAPHRAGM CHECK ASSY</t>
  </si>
  <si>
    <t>41804-00</t>
  </si>
  <si>
    <t>COMBO-RATE 4 HEAD TOP TAKE OFF TURRET ASSY, DIAPHRAGM CHECK ASSY</t>
  </si>
  <si>
    <t>41805-00</t>
  </si>
  <si>
    <t>COMBO-RATE 5 HEAD TOP TAKE OFF TURRET ASSY, DIAPHRAGM CHECK ASSY</t>
  </si>
  <si>
    <t>41805-23</t>
  </si>
  <si>
    <t>COMBO-RATE 2CR/3SL HEAD TOP TAKE OFF TURRET ASSY, DIAPHRAGM CHECK ASSY</t>
  </si>
  <si>
    <t>41805-32</t>
  </si>
  <si>
    <t>COMBO-RATE 3CR/2SL HEAD TOP TAKE OFF TURRET ASSY, DIAPHRAGM CHECK ASSY</t>
  </si>
  <si>
    <t>41806-00</t>
  </si>
  <si>
    <t>COMBO-RATE DOUBLE-DOWN TOP TAKE OFF TURRET ASSY,4+1DD, DIAPHRAGM CHECK ASSY</t>
  </si>
  <si>
    <t>41812-00</t>
  </si>
  <si>
    <t>COMBO-RATE 2 HEAD TOP TAKE OFF TURRET DIA ASSY, MANUAL ON/OFF ASSY</t>
  </si>
  <si>
    <t>41813-00</t>
  </si>
  <si>
    <t>COMBO-RATE 3 HEAD TOP TAKE OFF TURRET DIA ASSY, MANUAL ON/OFF ASSY</t>
  </si>
  <si>
    <t>41814-00</t>
  </si>
  <si>
    <t>COMBO-RATE 4 HEAD TOP TAKE OFF TURRET DIA ASSY, MANUAL ON/OFF ASSY</t>
  </si>
  <si>
    <t>41815-00</t>
  </si>
  <si>
    <t>COMBO-RATE 5 HEAD TOP TAKE OFF TURRET DIA ASSY, MANUAL ON/OFF ASSY</t>
  </si>
  <si>
    <t>41815-23</t>
  </si>
  <si>
    <t>COMBO-RATE 2CR/3SL HEAD TOP TAKE OFF TURRET DIA ASSY, MANUAL ON/OFF ASSY</t>
  </si>
  <si>
    <t>41815-32</t>
  </si>
  <si>
    <t>COMBO-RATE 3CR/2SL HEAD TOP TAKE OFF TURRET DIA ASSY, MANUAL ON/OFF ASSY</t>
  </si>
  <si>
    <t>41816-00</t>
  </si>
  <si>
    <t>COMBO-RATE DOUBLE-DOWN TOP TAKE OFF TURRET ASSY,4+1DD, MANUAL ON/OFF ASSY</t>
  </si>
  <si>
    <t>41832-00</t>
  </si>
  <si>
    <t>COMBO-RATE 2 HEAD TOP TAKE OFF TURRET ASSY, w/o NUT</t>
  </si>
  <si>
    <t>41833-00</t>
  </si>
  <si>
    <t>COMBO-RATE 3 HEAD TOP TAKE OFF TURRET ASSY, w/o NUT</t>
  </si>
  <si>
    <t>41834-00</t>
  </si>
  <si>
    <t>COMBO-RATE 4 HEAD TOP TAKE OFF TURRET ASSY, w/o NUT</t>
  </si>
  <si>
    <t>41835-00</t>
  </si>
  <si>
    <t>COMBO-RATE 5 HEAD TOP TAKE OFF TURRET ASSY, w/o NUT</t>
  </si>
  <si>
    <t>41835-23</t>
  </si>
  <si>
    <t>COMBO-RATE 2CR/3SL HEAD TOP TAKE OFF TURRET ASSY, w/o NUT</t>
  </si>
  <si>
    <t>41835-32</t>
  </si>
  <si>
    <t>COMBO-RATE 3CR/2SL HEAD TOP TAKE OFF TURRET ASSY, w/o NUT</t>
  </si>
  <si>
    <t>41836-00</t>
  </si>
  <si>
    <t>COMBO-RATE DOUBLE-DOWN TOP TAKE OFF TURRET ASSY,4+1DD,  w/o NUT</t>
  </si>
  <si>
    <t>41842-00</t>
  </si>
  <si>
    <t>COMBO-RATE 2 HEAD TOP TAKE OFF TURRET ASSY, AIR-OFF ASSY</t>
  </si>
  <si>
    <t>41843-00</t>
  </si>
  <si>
    <t>COMBO-RATE 3 HEAD TOP TAKE OFF TURRET ASSY, AIR-OFF ASSY</t>
  </si>
  <si>
    <t>41844-00</t>
  </si>
  <si>
    <t>COMBO-RATE 4 HEAD TOP TAKE OFF TURRET ASSY, AIR-OFF ASSY</t>
  </si>
  <si>
    <t>41845-00</t>
  </si>
  <si>
    <t>COMBO-RATE 5 HEAD TOP TAKE OFF TURRET ASSY, AIR-OFF ASSY</t>
  </si>
  <si>
    <t>41846-00</t>
  </si>
  <si>
    <t>COMBO-RATE DOUBLE-DOWN TOP TAKE OFF TURRET ASSY,3+1DD, AIR-OFF ASSY</t>
  </si>
  <si>
    <t>50102-BLU</t>
  </si>
  <si>
    <t>BDY ASSY,CR,THRU,ON/OFF,BLU</t>
  </si>
  <si>
    <t>50102-RED</t>
  </si>
  <si>
    <t>BDY ASSY,CR,THRU,ON/OFF,RED</t>
  </si>
  <si>
    <t>50103-BLU</t>
  </si>
  <si>
    <t>BDY ASSY,CR,END,ON/OFF,BLU</t>
  </si>
  <si>
    <t>50103-RED</t>
  </si>
  <si>
    <t>BDY ASSY,CR,END,ON/OFF,RED</t>
  </si>
  <si>
    <t>51204-03</t>
  </si>
  <si>
    <t>51204-04</t>
  </si>
  <si>
    <t>51208-00</t>
  </si>
  <si>
    <t>WET BOOM SADDLE ASSY, 2" TUBE SPECIAL , 9/16" FLUSH INLET, 41206-02 BACKSTRAP</t>
  </si>
  <si>
    <t>70154-01</t>
  </si>
  <si>
    <t>3 TIP BOOMLESS ASSEMBLY, 1.3GPM</t>
  </si>
  <si>
    <t>70154-03</t>
  </si>
  <si>
    <t>3 TIP BOOMLESS ASSEMBLY, 2.6GPM</t>
  </si>
  <si>
    <t>70154-06</t>
  </si>
  <si>
    <t>3 TIP BOOMLESS ASSEMBLY, 5.5GPM</t>
  </si>
  <si>
    <t>70154-V1</t>
  </si>
  <si>
    <t xml:space="preserve">3 TIP BOOMLESS ASSEMBLY, 1.3GPM, VITON® </t>
  </si>
  <si>
    <t>70154-V3</t>
  </si>
  <si>
    <t xml:space="preserve">3 TIP BOOMLESS ASSEMBLY, 2.6GPM, VITON® </t>
  </si>
  <si>
    <t>70154-V6</t>
  </si>
  <si>
    <t xml:space="preserve">3 TIP BOOMLESS ASSEMBLY, 5.5GPM, VITON® </t>
  </si>
  <si>
    <t>70155-02</t>
  </si>
  <si>
    <t>3 TIP BOOMLESS ASSEMBLY, 2.3GPM</t>
  </si>
  <si>
    <t>70155-03</t>
  </si>
  <si>
    <t>3 TIP BOOMLESS ASSEMBLY, 2.9GPM</t>
  </si>
  <si>
    <t>70155-06</t>
  </si>
  <si>
    <t>3 TIP BOOMLESS ASSEMBLY, 5.8PM</t>
  </si>
  <si>
    <t>70155-12</t>
  </si>
  <si>
    <t>3 TIP BOOMLESS ASSEMBLY, 11.5GPM</t>
  </si>
  <si>
    <t>70155-V12</t>
  </si>
  <si>
    <t xml:space="preserve">3 TIP BOOMLESS ASSEMBLY, 11.5GPM, VITON® </t>
  </si>
  <si>
    <t>70155-V2</t>
  </si>
  <si>
    <t xml:space="preserve">3 TIP BOOMLESS ASSEMBLY, 2.3GPM, VITON® </t>
  </si>
  <si>
    <t>70155-V3</t>
  </si>
  <si>
    <t xml:space="preserve">3 TIP BOOMLESS ASSEMBLY, 2.9GPM, VITON® </t>
  </si>
  <si>
    <t>70155-V6</t>
  </si>
  <si>
    <t xml:space="preserve">3 TIP BOOMLESS ASSEMBLY, 5.8GPM, VITON® </t>
  </si>
  <si>
    <t>70156-04</t>
  </si>
  <si>
    <t>3 TIP BOOMLESS ASSEMBLY, 3.9GPM</t>
  </si>
  <si>
    <t>70156-05</t>
  </si>
  <si>
    <t>3 TIP BOOMLESS ASSEMBLY, 4.9GPM</t>
  </si>
  <si>
    <t>70156-10</t>
  </si>
  <si>
    <t>3 TIP BOOMLESS ASSEMBLY, 9.6GPM</t>
  </si>
  <si>
    <t>70156-20</t>
  </si>
  <si>
    <t>3 TIP BOOMLESS ASSEMBLY, 19.5GPM</t>
  </si>
  <si>
    <t>70156-V10</t>
  </si>
  <si>
    <t xml:space="preserve">3 TIP BOOMLESS ASSEMBLY, 9.6GPM, VITON® </t>
  </si>
  <si>
    <t>70156-V20</t>
  </si>
  <si>
    <t xml:space="preserve">3 TIP BOOMLESS ASSEMBLY, 19.5GPM, VITON® </t>
  </si>
  <si>
    <t>70156-V4</t>
  </si>
  <si>
    <t xml:space="preserve">3 TIP BOOMLESS ASSEMBLY, 3.9GPM, VITON® </t>
  </si>
  <si>
    <t>70156-V5</t>
  </si>
  <si>
    <t xml:space="preserve">3 TIP BOOMLESS ASSEMBLY, 4.9GPM, VITON® </t>
  </si>
  <si>
    <t>20580-00</t>
  </si>
  <si>
    <t>EFI ASSY KIT - ORS MALE/FEMALE, VITON, with 4 JETS</t>
  </si>
  <si>
    <t>20583-00</t>
  </si>
  <si>
    <t>EFM CABLE ASSEMBLY - SINGLE SENSOR - without CONNECTOR</t>
  </si>
  <si>
    <t>20584-00</t>
  </si>
  <si>
    <t>EFM CABLE ASSEMBLY - SINGLE SENSOR - with CONNECTOR</t>
  </si>
  <si>
    <t>20584-10</t>
  </si>
  <si>
    <t>EFM CABLE ASSEMBLY - SINGLE SENSOR - with CONNECTOR, 10 FT</t>
  </si>
  <si>
    <t>20585-00</t>
  </si>
  <si>
    <t>EFM CABLE ASSEMBLY - FOUR SENSOR - with CONNECTOR</t>
  </si>
  <si>
    <t>20585-01</t>
  </si>
  <si>
    <t>EFM SENSOR COVER</t>
  </si>
  <si>
    <t>20600-00</t>
  </si>
  <si>
    <t>EFM OPERATING PANEL - TABLET</t>
  </si>
  <si>
    <t>20601-00</t>
  </si>
  <si>
    <t>EFM TABLET CASE</t>
  </si>
  <si>
    <t>20602-00</t>
  </si>
  <si>
    <t xml:space="preserve">MOUNT BRACKET ASSY -OPERATING PANEL </t>
  </si>
  <si>
    <t>20602-01</t>
  </si>
  <si>
    <t>RAM MOUNT TABLE CRADLE</t>
  </si>
  <si>
    <t>20602-02</t>
  </si>
  <si>
    <t>RAM MOUNT BASE AND ARM ASSEMBLY</t>
  </si>
  <si>
    <t>20602-03</t>
  </si>
  <si>
    <t>RAM MOUNT YOKE CLAMP BASE</t>
  </si>
  <si>
    <t>EFM ECU BASE KIT</t>
  </si>
  <si>
    <t>20603-01</t>
  </si>
  <si>
    <t>EFM LEGEND WIFI ECU</t>
  </si>
  <si>
    <t>20603-02</t>
  </si>
  <si>
    <t>EFM BATTERY HARNESS</t>
  </si>
  <si>
    <t>20603-03</t>
  </si>
  <si>
    <t>EFM ANTENNA</t>
  </si>
  <si>
    <t>20604-00</t>
  </si>
  <si>
    <t>EFM HARNESS TERMINATOR</t>
  </si>
  <si>
    <t>20605-00</t>
  </si>
  <si>
    <t>EFM ECU TEE SPLITTER ASSY, WITH TERMINATOR</t>
  </si>
  <si>
    <t>EFM ECU TEE SPLITTER</t>
  </si>
  <si>
    <t>20608-00</t>
  </si>
  <si>
    <t>EFM 4 CHANNEL NODE with HARNESS</t>
  </si>
  <si>
    <t>20608-01</t>
  </si>
  <si>
    <t>EFM 4 CHANNEL NODE</t>
  </si>
  <si>
    <t>20608-02</t>
  </si>
  <si>
    <t>EFM HARNESS FOR 4 CHANNEL NODE</t>
  </si>
  <si>
    <t>20609-00</t>
  </si>
  <si>
    <t>EFM 4 CHANNEL NODE COVER CAP</t>
  </si>
  <si>
    <t>20611-00</t>
  </si>
  <si>
    <t>EFM 16 CHANNEL NODE with HARNESS</t>
  </si>
  <si>
    <t>20611-01</t>
  </si>
  <si>
    <t>EFM 16 CHANNEL NODE</t>
  </si>
  <si>
    <t>20611-02</t>
  </si>
  <si>
    <t>EFM HARNESS FOR 16 CHANNEL NODE</t>
  </si>
  <si>
    <t>EFM 16 CHANNEL NODE COVER CAP</t>
  </si>
  <si>
    <t>20615-06</t>
  </si>
  <si>
    <t>20615-12</t>
  </si>
  <si>
    <t>20616-12</t>
  </si>
  <si>
    <t>20616-24</t>
  </si>
  <si>
    <t>20620-00</t>
  </si>
  <si>
    <t>EFM 4 CHANNEL NODE KIT</t>
  </si>
  <si>
    <t>EFM 16 CHANNEL NODE KIT</t>
  </si>
  <si>
    <t>20625-00</t>
  </si>
  <si>
    <t>20625-01</t>
  </si>
  <si>
    <t>20625-02</t>
  </si>
  <si>
    <t>20625-03</t>
  </si>
  <si>
    <t>US$</t>
  </si>
  <si>
    <t>20460-14</t>
  </si>
  <si>
    <t>25165-00</t>
  </si>
  <si>
    <t>QN ASSY - 1" SST x SIGHT BULB PLUG, CLEAR</t>
  </si>
  <si>
    <t>25175-00</t>
  </si>
  <si>
    <t>QN BOOM-END FLUSH VALVE - 1" SST - FEMALE THREAD</t>
  </si>
  <si>
    <t>25175-06</t>
  </si>
  <si>
    <t>O-RING, BUNA N  #214</t>
  </si>
  <si>
    <t>25175-07</t>
  </si>
  <si>
    <t>O-RING, BUNA N  #216</t>
  </si>
  <si>
    <t>30274-00</t>
  </si>
  <si>
    <t>CABLE PULLEY - 3" NYLON - BLK</t>
  </si>
  <si>
    <t>40100-015</t>
  </si>
  <si>
    <t>1/8"NPTF OFFSET NOZZLE OC-015 SS</t>
  </si>
  <si>
    <t>40116-00</t>
  </si>
  <si>
    <t>SINGLE SWIVEL-JET KWIKSTOP NOZZLE ASSY.- 1" WET BOOM</t>
  </si>
  <si>
    <t>40116-01</t>
  </si>
  <si>
    <t>SINGLE SJ KWIKSTOP NOZZLE BODY - 1" WET BOOM</t>
  </si>
  <si>
    <t>40116-P15</t>
  </si>
  <si>
    <t>SINGLE SWIVEL-JET KWIKSTOP NOZZLE ASSY.- 1" WET BOOM - 15 PSI DIA.</t>
  </si>
  <si>
    <t>40117-00</t>
  </si>
  <si>
    <t>DOUBLE SWIVEL-JET KWIKSTOP NOZZLE ASSY.- 1" WET BOOM</t>
  </si>
  <si>
    <t>40117-P15</t>
  </si>
  <si>
    <t>DOUBLE SWIVEL-JET KWIKSTOP NOZZLE ASSY.- 1" WET BOOM - 15 PSI DIA.</t>
  </si>
  <si>
    <t>40118-00</t>
  </si>
  <si>
    <t>TRIPLE SWIVEL-JET KWIKSTOP NOZZLE ASSY.- 1" WET BOOM</t>
  </si>
  <si>
    <t>40118-P15</t>
  </si>
  <si>
    <t>TRIPLE SWIVEL-JET KWIKSTOP NOZZLE ASSY.- 1" WET BOOM - 15 PSI DIA.</t>
  </si>
  <si>
    <t>40154-00</t>
  </si>
  <si>
    <t>SINGLE NOZZLE ASSY. - 3/4" WET BOOM, SS</t>
  </si>
  <si>
    <t>40154-02</t>
  </si>
  <si>
    <t xml:space="preserve">SINGLE BODY, 3/4" WB - SS </t>
  </si>
  <si>
    <t>40155-00</t>
  </si>
  <si>
    <t>DOUBLE S-J NOZZLE ASSY.- 3/4" WET BOOM, SS</t>
  </si>
  <si>
    <t>40155-01</t>
  </si>
  <si>
    <t>UPPER CLAMP, 3/4"</t>
  </si>
  <si>
    <t>40155-02</t>
  </si>
  <si>
    <t>MAIN BODY, 3/4" - FOR DUAL WB</t>
  </si>
  <si>
    <t>40155-03</t>
  </si>
  <si>
    <t>DUAL BODY - SS</t>
  </si>
  <si>
    <t>40155-04</t>
  </si>
  <si>
    <t>DIAPHRAGM MODULE</t>
  </si>
  <si>
    <t>40155-05</t>
  </si>
  <si>
    <t>PRESSURE PAD</t>
  </si>
  <si>
    <t>40155-06</t>
  </si>
  <si>
    <t>SPRING</t>
  </si>
  <si>
    <t>40156-00</t>
  </si>
  <si>
    <t>SINGLE NOZZLE ASSY.- 1" WET BOOM, SS</t>
  </si>
  <si>
    <t>40156-02</t>
  </si>
  <si>
    <t>SINGLE BODY, 1" WB - SS</t>
  </si>
  <si>
    <t>40157-00</t>
  </si>
  <si>
    <t>DOUBLE S-J NOZZLE ASSY.- 1" WET BOOM, SS</t>
  </si>
  <si>
    <t>40157-01</t>
  </si>
  <si>
    <t>UPPER CLAMP, 1"</t>
  </si>
  <si>
    <t>40157-02</t>
  </si>
  <si>
    <t>MAIN BODY, 1", FOR DUAL WB</t>
  </si>
  <si>
    <t>40166-00</t>
  </si>
  <si>
    <t>TRIPLE S-J NOZZLE ASSY.- 3/4" WET BOOM, SS</t>
  </si>
  <si>
    <t>40166-02</t>
  </si>
  <si>
    <t>MAIN BODY, 3/4" - FOR TRIPLE WB</t>
  </si>
  <si>
    <t>40166-03</t>
  </si>
  <si>
    <t>TRIPLE BODY, SS</t>
  </si>
  <si>
    <t>40167-00</t>
  </si>
  <si>
    <t>TRIPLE S-J NOZZLE ASSY.- 1" WET BOOM, SS</t>
  </si>
  <si>
    <t>40167-02</t>
  </si>
  <si>
    <t>MAIN BODY, 1" - FOR TRIPLE WB</t>
  </si>
  <si>
    <t>40167-P15</t>
  </si>
  <si>
    <t>TRIPLE S-J NOZZLE ASSY.- 1" WET BOOM, SS, 15 PSI DIA.</t>
  </si>
  <si>
    <t>40170-88</t>
  </si>
  <si>
    <t>SPRAY TIP - ALL BRASS - ER80-125</t>
  </si>
  <si>
    <t>40170-89</t>
  </si>
  <si>
    <t>SPRAY TIP - ALL BRASS - ER80-25</t>
  </si>
  <si>
    <t>40170-90</t>
  </si>
  <si>
    <t>SPRAY TIP - ALL BRASS - ER80-10</t>
  </si>
  <si>
    <t>40170-91</t>
  </si>
  <si>
    <t>SPRAY TIP - ALL BRASS - ER80-15</t>
  </si>
  <si>
    <t>40170-92</t>
  </si>
  <si>
    <t>SPRAY TIP - ALL BRASS - ER80-20</t>
  </si>
  <si>
    <t>40170-93</t>
  </si>
  <si>
    <t>SPRAY TIP - ALL BRASS - ER80-30</t>
  </si>
  <si>
    <t>40193-00</t>
  </si>
  <si>
    <t>WET BOOM BODY ASSY - SQUARE LUG, 3/4" PIPE</t>
  </si>
  <si>
    <t>40193-01</t>
  </si>
  <si>
    <t>WET BOOM BODY - SQUARE LUG, 3/4" PIPE</t>
  </si>
  <si>
    <t>40193-S0</t>
  </si>
  <si>
    <t>WET BOOM BODY ASSY - SQUARE LUG, 3/4" PIPE, SEMI-ASSEMBLED</t>
  </si>
  <si>
    <t>40194-00</t>
  </si>
  <si>
    <t>WET BOOM BODY ASSY - SQUARE LUG, 1" PIPE</t>
  </si>
  <si>
    <t>40194-01</t>
  </si>
  <si>
    <t>WET BOOM BODY - SQUARE LUG, 1" PIPE</t>
  </si>
  <si>
    <t>40194-S0</t>
  </si>
  <si>
    <t>WET BOOM BODY ASSY - SQUARE LUG, 1" PIPE, SEMI-ASSEMBLED</t>
  </si>
  <si>
    <t>40195-00</t>
  </si>
  <si>
    <t>WET BOOM BODY ASSY -  DUAL - SQ. LUG, 3/4" PIPE</t>
  </si>
  <si>
    <t>40195-01</t>
  </si>
  <si>
    <t>WET BOOM MAIN BODY -  DUAL - 3/4" PIPE</t>
  </si>
  <si>
    <t>40195-S0</t>
  </si>
  <si>
    <t>WET BOOM BODY ASSY -  DUAL - SQ. LUG, 3/4" PIPE, SEMI-ASSEMBLED</t>
  </si>
  <si>
    <t>40196-00</t>
  </si>
  <si>
    <t>WET BOOM BODY ASSY -  DUAL - SQ. LUG, 1" PIPE</t>
  </si>
  <si>
    <t>40196-01</t>
  </si>
  <si>
    <t>WET BOOM MAIN BODY -  DUAL - 1" PIPE</t>
  </si>
  <si>
    <t>40196-S0</t>
  </si>
  <si>
    <t>WET BOOM BODY ASSY -  DUAL - SQ. LUG, 1" PIPE, SEMI-ASSEMBLED</t>
  </si>
  <si>
    <t>40197-00</t>
  </si>
  <si>
    <t>WET BOOM BODY ASSY -  TRIPLE - SQ. LUG, 3/4" PIPE</t>
  </si>
  <si>
    <t>40197-01</t>
  </si>
  <si>
    <t>WET BOOM MAIN BODY -  TRIPLE - 3/4" PIPE</t>
  </si>
  <si>
    <t>40197-S0</t>
  </si>
  <si>
    <t>WET BOOM BODY ASSY -  TRIPLE - SQ. LUG, 3/4" PIPE, SEMI-ASSEMBLED</t>
  </si>
  <si>
    <t>40198-00</t>
  </si>
  <si>
    <t>WET BOOM BODY ASSY -  TRIPLE - SQ. LUG, 1" PIPE</t>
  </si>
  <si>
    <t>40198-01</t>
  </si>
  <si>
    <t>WET BOOM MAIN BODY -  TRIPLE - 1" PIPE</t>
  </si>
  <si>
    <t>40198-S0</t>
  </si>
  <si>
    <t>WET BOOM BODY ASSY -  TRIPLE - SQ. LUG, 1" PIPE, SEMI-ASSEMBLED</t>
  </si>
  <si>
    <t>40200-00</t>
  </si>
  <si>
    <t>ADAPTER ASSY. - CONV to COMBO-JET</t>
  </si>
  <si>
    <t>40200-01</t>
  </si>
  <si>
    <t>ADAPTER BODY - CONV TO COMBO-JET</t>
  </si>
  <si>
    <t>40200-V0</t>
  </si>
  <si>
    <t>ADAPTER ASSY. - CONV to COMBO-JET with VITON®  O-RING</t>
  </si>
  <si>
    <t>40204-01</t>
  </si>
  <si>
    <t>TWISTLOCK ADAPTER BODY - SL TO COMBO-JET</t>
  </si>
  <si>
    <t>40204-02</t>
  </si>
  <si>
    <t>TWISTLOCK ADAPTER LOCK RING - SL TO COMBO-JET</t>
  </si>
  <si>
    <t>40206-00</t>
  </si>
  <si>
    <t>TWISTLOCK DOUBLE DOWN ADAPTER ASSY - SL to 2 COMBO-JET</t>
  </si>
  <si>
    <t>40206-01</t>
  </si>
  <si>
    <t>TWISTLOCK DOUBLE DOWN BODY - SL TO 2 COMBO-JET</t>
  </si>
  <si>
    <t>40206-02</t>
  </si>
  <si>
    <t>TWISTLOCK DOUBLE DOWN LOCK RING - SL TO 2 COMBO-JET</t>
  </si>
  <si>
    <t>40206-V0</t>
  </si>
  <si>
    <t>TWISTLOCK DOUBLE DOWN ADAPTER ASSY - SL to 2 COMBO-JET WITH VITON O-RING</t>
  </si>
  <si>
    <t>40208-00</t>
  </si>
  <si>
    <t>ADAPTER ASSY. - CAPSTAN  WIL to SS</t>
  </si>
  <si>
    <t>40208-01</t>
  </si>
  <si>
    <t>ADAPTER BODY - CAPSTAN  WIL to SS</t>
  </si>
  <si>
    <t>40209-00</t>
  </si>
  <si>
    <t>ADAPTER ASSY. - CAPSTAN  WIL to ARAG</t>
  </si>
  <si>
    <t>40209-01</t>
  </si>
  <si>
    <t>ADAPTER BODY - CAPSTAN  WIL to ARAG</t>
  </si>
  <si>
    <t>40214-00</t>
  </si>
  <si>
    <t>WET BOOM BODY ASSY - SINGLE SQUARE LUG, 1" PIPE,  KWIKSTOP</t>
  </si>
  <si>
    <t>40214-01</t>
  </si>
  <si>
    <t>WET BOOM BODY - SINGLE SQUARE LUG, 1" PIPE, KWIKSTOP</t>
  </si>
  <si>
    <t>40216-00</t>
  </si>
  <si>
    <t>WET BOOM BODY ASSY - DUAL SQUARE LUG, 1" PIPE,  KWIKSTOP</t>
  </si>
  <si>
    <t>40216-01</t>
  </si>
  <si>
    <t>WET BOOM BODY - DUAL SQUARE LUG, 1" PIPE, KWIKSTOP</t>
  </si>
  <si>
    <t>40218-00</t>
  </si>
  <si>
    <t>WET BOOM BODY ASSY - TRIPLE SQUARE LUG, 1" PIPE,  KWIKSTOP</t>
  </si>
  <si>
    <t>40218-01</t>
  </si>
  <si>
    <t>WET BOOM BODY - TRIPLE SQUARE LUG, 1" PIPE, KWIKSTOP</t>
  </si>
  <si>
    <t>40254-00</t>
  </si>
  <si>
    <t>SINGLE NOZZLE ASSY. - 3/4" WET BOOM, C/J</t>
  </si>
  <si>
    <t>40254-02</t>
  </si>
  <si>
    <t>SINGLE BODY, 3/4", C/J</t>
  </si>
  <si>
    <t>40255-00</t>
  </si>
  <si>
    <t>DOUBLE S-J NOZZLE ASSY.- 3/4" WET BOOM, C/J</t>
  </si>
  <si>
    <t>40255-03</t>
  </si>
  <si>
    <t>DUAL BODY, C/J</t>
  </si>
  <si>
    <t>40256-00</t>
  </si>
  <si>
    <t>SINGLE NOZZLE ASSY.- 1" WET BOOM, C/J</t>
  </si>
  <si>
    <t>40256-02</t>
  </si>
  <si>
    <t>SINGLE BODY, 1", C/J</t>
  </si>
  <si>
    <t>40257-00</t>
  </si>
  <si>
    <t>DOUBLE NOZZLE ASSY.- 1" WET BOOM, C/J</t>
  </si>
  <si>
    <t>40257-P15</t>
  </si>
  <si>
    <t>DOUBLE NOZZLE ASSY.- 1" WET BOOM, C/J, 15 PSI DIA.</t>
  </si>
  <si>
    <t>40258-00</t>
  </si>
  <si>
    <t>DOUBLE C/J KWIKSTOP NOZZLE ASSY.- 1" WET BOOM</t>
  </si>
  <si>
    <t>40258-01</t>
  </si>
  <si>
    <t>MAIN BODY, 1", FOR DUAL KWIKSTOP - 1" WET BOOM</t>
  </si>
  <si>
    <t>40258-P15</t>
  </si>
  <si>
    <t>DOUBLE C/J KWIKSTOP NOZZLE ASSY.- 1" WET BOOM, 15 PSI DIA.</t>
  </si>
  <si>
    <t>40259-00</t>
  </si>
  <si>
    <t>SINGLE C/J KWIKSTOP NOZZLE ASSY.- 1" WET BOOM</t>
  </si>
  <si>
    <t>40259-01</t>
  </si>
  <si>
    <t>MAIN BODY, 1", FOR SINGLE C/J KWIKSTOP - 1" WET BOOM</t>
  </si>
  <si>
    <t>40259-P15</t>
  </si>
  <si>
    <t>SINGLE C/J KWIKSTOP NOZZLE ASSY.- 1" WET BOOM, 15 PSI DIA.</t>
  </si>
  <si>
    <t>40266-00</t>
  </si>
  <si>
    <t>TRIPLE NOZZLE ASSY.- 3/4" WET BOOM, C/J</t>
  </si>
  <si>
    <t>40266-03</t>
  </si>
  <si>
    <t>TRIPLE BODY, C/J</t>
  </si>
  <si>
    <t>40267-00</t>
  </si>
  <si>
    <t>TRIPLE NOZZLE ASSY.-1" WET BOOM, C/J</t>
  </si>
  <si>
    <t>40268-00</t>
  </si>
  <si>
    <t>TRIPLE C/J KWIKSTOP NOZZLE ASSY.- 1" WET BOOM</t>
  </si>
  <si>
    <t>40268-01</t>
  </si>
  <si>
    <t>MAIN BODY, 1", FOR TRIPLE KWIKSTOP - 1" WET BOOM</t>
  </si>
  <si>
    <t>40268-P15</t>
  </si>
  <si>
    <t>TRIPLE C/J KWIKSTOP NOZZLE ASSY.- 1" WET BOOM, 15 PSI DIA.</t>
  </si>
  <si>
    <t>40270-97</t>
  </si>
  <si>
    <t>O-RING , .279 x 0.040 BUNA 70</t>
  </si>
  <si>
    <t>40295-29</t>
  </si>
  <si>
    <t>DR COMBO-JET CAP, NO OFFSET, ORANGE</t>
  </si>
  <si>
    <t>40295-V3</t>
  </si>
  <si>
    <t xml:space="preserve">DR COMBO-JET DRA50-01E TIP/CAP ASSY, ORANGE,VITON® </t>
  </si>
  <si>
    <t>40401-00</t>
  </si>
  <si>
    <t>COMPACT BODY,SQ. MT.,3/8" ONE WAY</t>
  </si>
  <si>
    <t>40402-00</t>
  </si>
  <si>
    <t>COMPACT BODY,SQ. MT.,3/8" TWO WAY</t>
  </si>
  <si>
    <t>40411-00</t>
  </si>
  <si>
    <t>COMPACT BODY,SQ. MT.,3/4" ONE WAY</t>
  </si>
  <si>
    <t>40412-00</t>
  </si>
  <si>
    <t>COMPACT BODY,SQ. MT.,3/4" TWO WAY</t>
  </si>
  <si>
    <t>40441-00</t>
  </si>
  <si>
    <t>RADIALOCK DOUBLE DOWN ADAPTER ASSY (O-RING incl)</t>
  </si>
  <si>
    <t>40441-01</t>
  </si>
  <si>
    <t>RADIALOCK DOUBLE DOWN ADAPTER BODY</t>
  </si>
  <si>
    <t>40441-V0</t>
  </si>
  <si>
    <t>RADIALOCK DOUBLE DOWN ADAPTER ASSY (VITON®  O-RING incl)</t>
  </si>
  <si>
    <t>40505-00</t>
  </si>
  <si>
    <t>COMPACT DIAPHRAGM BODY ASSY, 1/8" NPT FE, AIR-OFF OPERATED</t>
  </si>
  <si>
    <t>40506-00</t>
  </si>
  <si>
    <t>COMPACT DIAPHRAGM BODY ASSY, 1/4" NPT FE, AIR-OFF OPERATED</t>
  </si>
  <si>
    <t>40510-00</t>
  </si>
  <si>
    <t>WET BOOM BODY ASSY -SINGLE- COMBO-JET, 3/4" PIPE</t>
  </si>
  <si>
    <t>40510-01</t>
  </si>
  <si>
    <t>WET BOOM BODY -SINGLE- COMBO-JET, 3/4" PIPE</t>
  </si>
  <si>
    <t>40510-S0</t>
  </si>
  <si>
    <t>WET BOOM BODY ASSY -SINGLE- COMBO-JET, 3/4" PIPE, SEMI-ASSEMBLED</t>
  </si>
  <si>
    <t>40511-00</t>
  </si>
  <si>
    <t>WET BOOM BODY ASSY -SINGLE- COMBO-JET, 1" PIPE</t>
  </si>
  <si>
    <t>40511-01</t>
  </si>
  <si>
    <t>40511-S0</t>
  </si>
  <si>
    <t>WET BOOM BODY ASSY -SINGLE- COMBO-JET, 1" PIPE, SEMI-ASSEMBLED</t>
  </si>
  <si>
    <t>40512-00</t>
  </si>
  <si>
    <t>WET BOOM BODY ASSY - SINGLE COMBO-JET, 1" PIPE,  KWIKSTOP</t>
  </si>
  <si>
    <t>40512-01</t>
  </si>
  <si>
    <t>WET BOOM BODY - SINGLE COMBO-JET, 1" PIPE, KWIKSTOP</t>
  </si>
  <si>
    <t>40516-00</t>
  </si>
  <si>
    <t>WET BOOM BODY ASSY - DUAL - COMBO-JET, 3/4" PIPE</t>
  </si>
  <si>
    <t>40516-S0</t>
  </si>
  <si>
    <t>WET BOOM BODY ASSY - DUAL - COMBO-JET, 3/4" PIPE, SEMI-ASSEMBLED</t>
  </si>
  <si>
    <t>40517-00</t>
  </si>
  <si>
    <t>WET BOOM BODY ASSY - DUAL - COMBO-JET, 1" PIPE</t>
  </si>
  <si>
    <t>40517-S0</t>
  </si>
  <si>
    <t>WET BOOM BODY ASSY - DUAL - COMBO-JET, 1" PIPE, SEMI-ASSEMBLED</t>
  </si>
  <si>
    <t>40518-00</t>
  </si>
  <si>
    <t>WET BOOM BODY - DUAL COMBO-JET, 1" PIPE, KWIKSTOP</t>
  </si>
  <si>
    <t>40526-00</t>
  </si>
  <si>
    <t>WET BOOM BODY ASSY - TRIPLE - COMBO-JET, 3/4" PIPE</t>
  </si>
  <si>
    <t>40526-S0</t>
  </si>
  <si>
    <t>WET BOOM BODY ASSY - TRIPLE - COMBO-JET, 3/4" PIPE, SEMI-ASSEMBLED</t>
  </si>
  <si>
    <t>40527-00</t>
  </si>
  <si>
    <t>WET BOOM BODY ASSY - TRIPLE - COMBO-JET, 1" PIPE</t>
  </si>
  <si>
    <t>40527-S0</t>
  </si>
  <si>
    <t>WET BOOM BODY ASSY - TRIPLE - COMBO-JET, 1" PIPE, SEMI-ASSEMBLED</t>
  </si>
  <si>
    <t>40528-00</t>
  </si>
  <si>
    <t>WET BOOM BODY ASSY - TRIPLE COMBO-JET, 1" PIPE,  KWIKSTOP</t>
  </si>
  <si>
    <t>41120-12</t>
  </si>
  <si>
    <t>SPRING - C/R AIR-ON</t>
  </si>
  <si>
    <t>41120-13</t>
  </si>
  <si>
    <t>NUT #4-40 SS</t>
  </si>
  <si>
    <t>41120-14</t>
  </si>
  <si>
    <t>U-CUP SEAL 1/4 x 1/2 x 1/8</t>
  </si>
  <si>
    <t>41120-15</t>
  </si>
  <si>
    <t>41120-17</t>
  </si>
  <si>
    <t>SCREW - #4 x 3/4" FH SS</t>
  </si>
  <si>
    <t>41120-18</t>
  </si>
  <si>
    <t>41208-00</t>
  </si>
  <si>
    <t>DUAL WET BOOM SIDE SADDLE ASSY, 1" PIPE , 3/8" INLETS</t>
  </si>
  <si>
    <t>41300-00</t>
  </si>
  <si>
    <t>COMBO-RATE 3 SOLENOID CONTROL ASSY</t>
  </si>
  <si>
    <t>41301-00</t>
  </si>
  <si>
    <t xml:space="preserve">COMBO-RATE CONTROL EXTENTION CABLE - 20 FT. </t>
  </si>
  <si>
    <t>41302-00</t>
  </si>
  <si>
    <t xml:space="preserve">COMBO-RATE CONTROL SOLENOID </t>
  </si>
  <si>
    <t>41402-01</t>
  </si>
  <si>
    <t>TWS BOOM FLUSH VALVE  BODY- 1 1/4" FEMALE</t>
  </si>
  <si>
    <t>41522-00</t>
  </si>
  <si>
    <t>COMBO-RATE 2 HEAD TURRET BODY, AIR OPERATED ASSY</t>
  </si>
  <si>
    <t>41526-00</t>
  </si>
  <si>
    <t>COMBO-RATE DOUBLE-DOWN TURRET BODY, 4+1DD, AIR OPERATED ASSY</t>
  </si>
  <si>
    <t>41532-00</t>
  </si>
  <si>
    <t>COMBO-RATE 2 HEAD TURRET BODY, w/o NUT</t>
  </si>
  <si>
    <t>41542-00</t>
  </si>
  <si>
    <t>COMBO-RATE 2 HEAD TURRET BODY, AIR-OFF ASSY</t>
  </si>
  <si>
    <t>41602-00</t>
  </si>
  <si>
    <t>COMBO-RATE 2 HEAD SIDE TURRET BODY, DIAPHRAGM CHECK ASSY</t>
  </si>
  <si>
    <t>41612-00</t>
  </si>
  <si>
    <t>COMBO-RATE 2 HEAD SIDE TURRET DIA ASSY, MANUAL ON/OFF ASSY</t>
  </si>
  <si>
    <t>41632-00</t>
  </si>
  <si>
    <t>COMBO-RATE 2 HEAD SIDE TURRET ASSY, w/o NUT</t>
  </si>
  <si>
    <t>41642-00</t>
  </si>
  <si>
    <t>COMBO-RATE 2 HEAD SIDE TURRET ASSY, AIR-OFF ASSY</t>
  </si>
  <si>
    <t>Currency</t>
  </si>
  <si>
    <t>MSRP/Ea</t>
  </si>
  <si>
    <t>EFM APP</t>
  </si>
  <si>
    <t>FREE</t>
  </si>
  <si>
    <t>Subtotal</t>
  </si>
  <si>
    <t>Taxes</t>
  </si>
  <si>
    <t>Shipping</t>
  </si>
  <si>
    <t>EFM sensor plug cap</t>
  </si>
  <si>
    <t>Rubber Cap for capping off unused individual sensors on cables</t>
  </si>
  <si>
    <t>Sensor Caps</t>
  </si>
  <si>
    <t>Summary: Estimate Node and Extension Cable Usage</t>
  </si>
  <si>
    <t>Node/ECU Extension Harness Cables</t>
  </si>
  <si>
    <t>ECU Splitter Kit</t>
  </si>
  <si>
    <t>includes ECU splitter, Terminator</t>
  </si>
  <si>
    <t>Use to connect between nodes and/or ECU, 8-pin Deustch Male</t>
  </si>
  <si>
    <t>ThreadedFemaleStraight</t>
  </si>
  <si>
    <t>SYSTEM NODE USAGE</t>
  </si>
  <si>
    <t>Sensor Caps if sep</t>
  </si>
  <si>
    <t>Sensor Caps if central</t>
  </si>
  <si>
    <t>Total for Product</t>
  </si>
  <si>
    <t>for Separate</t>
  </si>
  <si>
    <t>for central</t>
  </si>
  <si>
    <t>for separate</t>
  </si>
  <si>
    <t>e.g. 5 section/manifold</t>
  </si>
  <si>
    <t>Inlet Fitting Part based on selection:</t>
  </si>
  <si>
    <t>Outlet Fitting Part based on selection:</t>
  </si>
  <si>
    <t>Layout notes &amp; Diagnostics</t>
  </si>
  <si>
    <t>Currency for MSRP:</t>
  </si>
  <si>
    <t>Enter Section Manifold Layout</t>
  </si>
  <si>
    <t>Monitoring System App ( ANDROID TABLET req'd, not incl.)</t>
  </si>
  <si>
    <t>L/Hectare</t>
  </si>
  <si>
    <t>US Gal/Acre</t>
  </si>
  <si>
    <t>Outlet Spacing
(enter one)</t>
  </si>
  <si>
    <t>If central manifold</t>
  </si>
  <si>
    <t>If separate manifold</t>
  </si>
  <si>
    <t>Node Caps</t>
  </si>
  <si>
    <t>Sensor Caps for Central</t>
  </si>
  <si>
    <t>Quad-Sensor Cables</t>
  </si>
  <si>
    <t>Orifice Size</t>
  </si>
  <si>
    <t>Orifice Part#</t>
  </si>
  <si>
    <t>Total Product</t>
  </si>
  <si>
    <t>RATE 1</t>
  </si>
  <si>
    <t>Pressure (PSI)</t>
  </si>
  <si>
    <t>Pressure (BAR)</t>
  </si>
  <si>
    <t>* For custom sized orifices, consult Wilger catalog or brochures for more flow rate/pressure options.</t>
  </si>
  <si>
    <t>21500-v003</t>
  </si>
  <si>
    <t>21500-v005</t>
  </si>
  <si>
    <t>21500-v007</t>
  </si>
  <si>
    <t>21500-v01</t>
  </si>
  <si>
    <t>21500-v015</t>
  </si>
  <si>
    <t>21500-v02</t>
  </si>
  <si>
    <t>21500-v025</t>
  </si>
  <si>
    <t>21500-v03</t>
  </si>
  <si>
    <t>21500-v04</t>
  </si>
  <si>
    <t>21500-v05</t>
  </si>
  <si>
    <t>21500-v06</t>
  </si>
  <si>
    <t>21500-v08</t>
  </si>
  <si>
    <t>21500-v10</t>
  </si>
  <si>
    <t>21500-v125</t>
  </si>
  <si>
    <t>21500-v15</t>
  </si>
  <si>
    <t>21500-v20</t>
  </si>
  <si>
    <t>21500-v25</t>
  </si>
  <si>
    <t>21500-v30</t>
  </si>
  <si>
    <t>2. The more detailed information you can provide, the better the resulting parts list. Some steps are mandatory for proper function of the builder.</t>
  </si>
  <si>
    <t>STEPS for Wizard Tool with Explanations</t>
  </si>
  <si>
    <t>1. PRODUCT NAME [OPTIONAL]</t>
  </si>
  <si>
    <t>Simply enough, this just labels the parts list for parts that are specific to it, labeling the form for easier use.</t>
  </si>
  <si>
    <t>2. PRODUCT DENSITY [REQUIRED] - ONLY ENTER ONE OPTION</t>
  </si>
  <si>
    <t>This group of cells is used to give some options to enter the product density, as it will change the flow rate and pressures required with the system. Either select the product density by weight (kg/L, or lb/Us Gallon), or specific gravity, but not more than one.</t>
  </si>
  <si>
    <t>3. Number of Outlets [REQUIRED]</t>
  </si>
  <si>
    <t>4. There are 3 product sheets that can be filled out to generate a single parts list. Ensure to enter information for each product seperately, and on its respective tab.</t>
  </si>
  <si>
    <t>4. Number of Manifolds [REQUIRED]</t>
  </si>
  <si>
    <t>5. Outlet Spacing [REQUIRED] - ONLY ENTER ONE OPTION</t>
  </si>
  <si>
    <t>This cell takes the outlet spacing in either cm (if using metric units) or inches. Ensure this is correct as it will adjust the flow rates accordingly.</t>
  </si>
  <si>
    <t>7. Outlet Selection [REQUIRED]</t>
  </si>
  <si>
    <t>8. Is a metering orifice required? [REQUIRED]</t>
  </si>
  <si>
    <t>This cell asks if a metering orifice (or metering function) is already existing on the implement. If you already have something that meters your flow row-by-row, then you may not require a metering orifice.</t>
  </si>
  <si>
    <t>9. Inlet Selection [REQUIRED]</t>
  </si>
  <si>
    <t>Using the available drop-down list options, select through the Outlet Fitting Type, Orientation and size. Selecting these dropdown options will generate the Wilger part# of the part you are describing. (So you don't need to know the actual part#)</t>
  </si>
  <si>
    <t>Using the available drop-down list options, select through the Inlet Fitting Type, Orientation and size. Selecting these dropdown options will generate the Wilger part# of the inlet you are describing. (So you don't need to know the actual part#). You can use different styles of inlet available, but there may be flow restrictions to a manifold if the inlet size selected is too small.</t>
  </si>
  <si>
    <t>10. Are Manifolds center-fed or side fed [REQUIRED]</t>
  </si>
  <si>
    <t>If the manifolds are planned to be center-fed by a TEE fitting, ensure you select YES. This will change the number of manifold end-caps, as well as add a TEE fitting.</t>
  </si>
  <si>
    <t>11. Alternate Flow Rate [Optional]</t>
  </si>
  <si>
    <t>6. Primary Flow Rate [REQUIRED] - ONLY ENTER ONE OPTION</t>
  </si>
  <si>
    <t>This cell allows a user to either enter their flow rate (if known), or enter the application rate and speed to determine a calculated flow rate that is converted with the density of liquid (step 2). The alternate flow rate will change the metering orifice chart at the bottom of the page, which can be used to select a metering orifice size.</t>
  </si>
  <si>
    <t>This cell allows a user to either enter their flow rate (if known), or enter the application rate and speed to determine a calculated flow rate that is converted with the density of liquid (step 2) The  flow rate will change the metering orifice chart at the bottom of the page, which can be used to select a metering orifice size.</t>
  </si>
  <si>
    <t>12. Manifold Layout on Implement [REQUIRED]</t>
  </si>
  <si>
    <t>This step breaks down the number of outlets in each section of the implement. If there are 3 sections listed in STEP 3 - Manifolds, then you would enter the number of outlets plumbed into Section 1/2/3, which would equal the total outlets listed in Step 2. This is a critical step as it will change the manifold fittings required to ensure efficient use of fittings.</t>
  </si>
  <si>
    <t>13. Metering Orifice Selection [REQUIRED - if orifices are required]</t>
  </si>
  <si>
    <t>This step includes reviewing the chart of ORS metering orifices and selecting one that has satisfactory pressures to achieve the necessary flow rate. If an ALTERNATE rate has been entered in STEP 11, a second set of lines will show with the pressures and orifice size requirements for that flow. Upon selection, select the orifice part# from the drop-down list.</t>
  </si>
  <si>
    <t>14. Reviewing the Generated Parts List</t>
  </si>
  <si>
    <r>
      <t xml:space="preserve">5. Most required cells will have an </t>
    </r>
    <r>
      <rPr>
        <sz val="11"/>
        <color rgb="FFFFC000"/>
        <rFont val="Calibri"/>
        <family val="2"/>
        <scheme val="minor"/>
      </rPr>
      <t>ORANGE color</t>
    </r>
    <r>
      <rPr>
        <sz val="11"/>
        <color theme="1"/>
        <rFont val="Calibri"/>
        <family val="2"/>
        <scheme val="minor"/>
      </rPr>
      <t xml:space="preserve"> when they require input. If they turn green, typically that is a sign that information has been properly entered.</t>
    </r>
  </si>
  <si>
    <t>If you require further support or have questions, please don't hesitate to contact Wilger:</t>
  </si>
  <si>
    <t>CANADA - info@wilger.net // 1 833-242-4121</t>
  </si>
  <si>
    <t>USA - WilgerESC@WilgerESC.com</t>
  </si>
  <si>
    <t>Thank you very much for your interest in Wilger products. We very much appreciate it.</t>
  </si>
  <si>
    <t>Discount on Plumbing (if applies)</t>
  </si>
  <si>
    <t>Discount on Electronics</t>
  </si>
  <si>
    <t>Discount on Plumbing</t>
  </si>
  <si>
    <t>Wilger Electronic Flow Monitoring System List: Seperated Manifolds</t>
  </si>
  <si>
    <t>Discount on Plumbing Parts (if appl.)</t>
  </si>
  <si>
    <t>Discount on Electronics (if appl.)</t>
  </si>
  <si>
    <t>Electronic Components if Sections are Seperated</t>
  </si>
  <si>
    <t>Cost if Discount Applied</t>
  </si>
  <si>
    <t>20605-01</t>
  </si>
  <si>
    <t xml:space="preserve">   System Operating Pressure (PSI)</t>
  </si>
  <si>
    <t>Isolated Column            PART#20490-00</t>
  </si>
  <si>
    <t>Isolated Feed Column              PART#20480-00</t>
  </si>
  <si>
    <t>Manifold Column        PART# 20475-00</t>
  </si>
  <si>
    <t>Manifold Column        PART# 20470-00</t>
  </si>
  <si>
    <t>Manifold Feed Column              PART#20460-00</t>
  </si>
  <si>
    <t>Ball Flow                  Operating Scale</t>
  </si>
  <si>
    <t>Ultra Low Flow Indicator Column</t>
  </si>
  <si>
    <t>Low Flow               Indicator Column</t>
  </si>
  <si>
    <t>Standard Flow Indicator Column</t>
  </si>
  <si>
    <t>Ultra Low Flow Column</t>
  </si>
  <si>
    <t>Low Flow Column</t>
  </si>
  <si>
    <t>Standard Flow Column</t>
  </si>
  <si>
    <t>US gpm</t>
  </si>
  <si>
    <t>21250-XX</t>
  </si>
  <si>
    <t>21234-XX</t>
  </si>
  <si>
    <t>21218-XX</t>
  </si>
  <si>
    <t>22213-XX</t>
  </si>
  <si>
    <t>21205-XX</t>
  </si>
  <si>
    <t>21196-XX</t>
  </si>
  <si>
    <t>21187-XX</t>
  </si>
  <si>
    <t>21182-XX</t>
  </si>
  <si>
    <t>21177-XX</t>
  </si>
  <si>
    <t>21171-XX</t>
  </si>
  <si>
    <t>21166-XX</t>
  </si>
  <si>
    <t>21161-XX</t>
  </si>
  <si>
    <t>21156-XX</t>
  </si>
  <si>
    <t>21152-XX</t>
  </si>
  <si>
    <t>21150-XX</t>
  </si>
  <si>
    <t>21147-XX</t>
  </si>
  <si>
    <t>21144-XX</t>
  </si>
  <si>
    <t>21140-XX</t>
  </si>
  <si>
    <t>21136-XX</t>
  </si>
  <si>
    <t>21128-XX</t>
  </si>
  <si>
    <t>21125-XX</t>
  </si>
  <si>
    <t>21120-XX</t>
  </si>
  <si>
    <t>21116-XX</t>
  </si>
  <si>
    <t>21113-XX</t>
  </si>
  <si>
    <t>21110-XX</t>
  </si>
  <si>
    <t>21107-XX</t>
  </si>
  <si>
    <t>21104-XX</t>
  </si>
  <si>
    <t>21093-XX</t>
  </si>
  <si>
    <t>21091-XX</t>
  </si>
  <si>
    <t>21089-XX</t>
  </si>
  <si>
    <t>21086-XX</t>
  </si>
  <si>
    <t>21081-XX</t>
  </si>
  <si>
    <t>21078-XX</t>
  </si>
  <si>
    <t>21075-XX</t>
  </si>
  <si>
    <t>21073-XX</t>
  </si>
  <si>
    <t>21070-XX</t>
  </si>
  <si>
    <t>21067-XX</t>
  </si>
  <si>
    <t>21063-XX</t>
  </si>
  <si>
    <t>21060-XX</t>
  </si>
  <si>
    <t>21057-XX</t>
  </si>
  <si>
    <t>21055-XX</t>
  </si>
  <si>
    <t>21052-XX</t>
  </si>
  <si>
    <t>21049-XX</t>
  </si>
  <si>
    <t>21046-XX</t>
  </si>
  <si>
    <t>21043-XX</t>
  </si>
  <si>
    <t>21040-XX</t>
  </si>
  <si>
    <t>21037-XX</t>
  </si>
  <si>
    <t>21034-XX</t>
  </si>
  <si>
    <t>21031-XX</t>
  </si>
  <si>
    <t>21028-XX</t>
  </si>
  <si>
    <t>21025-XX</t>
  </si>
  <si>
    <t>21500-V0067</t>
  </si>
  <si>
    <t>21022-XX</t>
  </si>
  <si>
    <t>21020-XX</t>
  </si>
  <si>
    <t>21018-XX</t>
  </si>
  <si>
    <t>21015-XX</t>
  </si>
  <si>
    <t>21013-XX</t>
  </si>
  <si>
    <t>21011-XX</t>
  </si>
  <si>
    <t>21009-XX</t>
  </si>
  <si>
    <t>20460-05 (1/2" SS)</t>
  </si>
  <si>
    <t>20460-06 (Red Glass)</t>
  </si>
  <si>
    <t>20460-07 (Red Celcon)</t>
  </si>
  <si>
    <t>20460-13 (Orange Poly)</t>
  </si>
  <si>
    <t>20460-08 (Green Poly)</t>
  </si>
  <si>
    <t>20460-10 (7/16" SS)</t>
  </si>
  <si>
    <t>Required Flow Rate</t>
  </si>
  <si>
    <t>Orifice Part Numbers and Respective Operating Pressure (PSI)</t>
  </si>
  <si>
    <t xml:space="preserve">       Flow Indicator Ball Part Numbers &amp; Flow Ranges</t>
  </si>
  <si>
    <t>Flow rate increments from 0.03 to 1.0 US gpm increase by 0.01 us gpm increments; from 1.0-3.0 US gpm increase by 0.05 increments.</t>
  </si>
  <si>
    <t>To hi-light the entire row of compatible orifices and pressures, select excel row header (i.e. Line 30)</t>
  </si>
  <si>
    <t>The required orifice flow rate is hi-lighted in yellow / red on far left column.</t>
  </si>
  <si>
    <t>Flow Indicator Ball &amp; Metering Orifice Performance Chart</t>
  </si>
  <si>
    <t>Currency must match central manifold</t>
  </si>
  <si>
    <t>3. The parts list will be generated based on information provided.</t>
  </si>
  <si>
    <t>This cell provides the total number of manifolds or sections being plumbed. This is used for background checks to ensure the manifold layout is correct as well as setting the number of inlet fittings required.</t>
  </si>
  <si>
    <t>This cell provides the total number of outlets being plumbed. This is used for background checks to ensure the manifold layout is correct as well as setting the number of outlet fittings required.</t>
  </si>
  <si>
    <t>If all the previous steps were completed, you can view the GENERATED PARTS LIST worksheet for the parts list with all the parts required</t>
  </si>
  <si>
    <t>Instructions for use of the Visual Flow Indicator Manifold Builder</t>
  </si>
  <si>
    <t>1. Find the below instructions for general use of this Flow Indicator manifold parts list generator.</t>
  </si>
  <si>
    <t>Wilger Visual Flow Indicator System Parts List</t>
  </si>
  <si>
    <t>Subtotal after Discount</t>
  </si>
  <si>
    <t>Ultra Low</t>
  </si>
  <si>
    <t>Column Size</t>
  </si>
  <si>
    <t>Flow Size</t>
  </si>
  <si>
    <t>Low Flow</t>
  </si>
  <si>
    <t>Standard</t>
  </si>
  <si>
    <t>Ultra Low: 
0.01-0.24 usgpm
Low Flow:
0.05-0.65 us gpm
Standard: 
0.07-2.7 us gpm</t>
  </si>
  <si>
    <t>Visual Flow Indicator Manifold Builder Sheet</t>
  </si>
  <si>
    <t>Litres/
Hectare</t>
  </si>
  <si>
    <t>Column Efficiency
(aim for 30-90%)</t>
  </si>
  <si>
    <t>High</t>
  </si>
  <si>
    <t>Low</t>
  </si>
  <si>
    <t>MRSP</t>
  </si>
  <si>
    <t>Country of Origin</t>
  </si>
  <si>
    <t>HS CODE</t>
  </si>
  <si>
    <t>USA</t>
  </si>
  <si>
    <t>Canada</t>
  </si>
  <si>
    <t>4911.10.00.40</t>
  </si>
  <si>
    <t>GENERAL PRODUCT CATALOG</t>
  </si>
  <si>
    <t>8424.90.90.80</t>
  </si>
  <si>
    <t>O-RING - FKM # 108, 70 DUROMETER</t>
  </si>
  <si>
    <t>China</t>
  </si>
  <si>
    <t>4016.93.50.10</t>
  </si>
  <si>
    <t>O-RING - FKM # 110, 70 DUROMETER</t>
  </si>
  <si>
    <t>4016.93.50.50</t>
  </si>
  <si>
    <t>O-RING - VITON® #108</t>
  </si>
  <si>
    <t>O-RING - VITON® #110</t>
  </si>
  <si>
    <t>O-RING - FKM # 203, 70 DUROMETER</t>
  </si>
  <si>
    <t>O-RING - VITON®  # 203</t>
  </si>
  <si>
    <t>O-RING - FKM #212</t>
  </si>
  <si>
    <t>BALL - FLOW INDICATOR-PINK CELCON</t>
  </si>
  <si>
    <t>4016.93.99.30</t>
  </si>
  <si>
    <t>20475-BULK</t>
  </si>
  <si>
    <t xml:space="preserve">FLOW INDICATOR ACCESSORY KIT, ISOLATED FEED, VITON® </t>
  </si>
  <si>
    <t>20550-P4</t>
  </si>
  <si>
    <t>DIAPHRAGM CHECK VALVE ASSY- ORS MALE x ORS FEMALE, 90, 4PSI</t>
  </si>
  <si>
    <t>20551-P4</t>
  </si>
  <si>
    <t>MANUAL ON/OFF CHECK VALVE ASSY- ORS MALE x ORS FEMALE, 90, 4PSI</t>
  </si>
  <si>
    <t>20552-P4</t>
  </si>
  <si>
    <t>AIR-OFF CHECK VALVE ASSY- ORS MALE x ORS FEMALE, 90, 4PSI</t>
  </si>
  <si>
    <t>20553-P4</t>
  </si>
  <si>
    <t>OPTIONAL CONTROL VALVE ASSY- ORS MALE x ORS FEMALE, 90, 4PSI</t>
  </si>
  <si>
    <t>20555-P4</t>
  </si>
  <si>
    <t>DIAPHRAGM CHECK VALVE ASSY- ORS MALE x ORS FEMALE, STRAIGHT, 4PSI</t>
  </si>
  <si>
    <t>20556-P4</t>
  </si>
  <si>
    <t>MANUAL ON/OFF CHECK VALVE ASSY- ORS MALE x ORS FEMALE, STRAIGHT, 4PSI</t>
  </si>
  <si>
    <t>20557-P4</t>
  </si>
  <si>
    <t>AIR-OFF CHECK VALVE ASSY- ORS MALE x ORS FEMALE, STRAIGHT, 4PSI</t>
  </si>
  <si>
    <t>20558-P4</t>
  </si>
  <si>
    <t>OPTIONAL CONTROL VALVE ASSY- ORS MALE x ORS FEMALE, STRAIGHT, 4PSI</t>
  </si>
  <si>
    <t>20561-P4</t>
  </si>
  <si>
    <t>MANUAL ON/OFF CHECK VALVE ASSY- ORS MALE x RADIALOCK MALE, 4PSI CHECK VALVE</t>
  </si>
  <si>
    <t>9026.90.00.00</t>
  </si>
  <si>
    <t>8505.19.00.00</t>
  </si>
  <si>
    <t>7318.29.00.00</t>
  </si>
  <si>
    <t>20581-01M</t>
  </si>
  <si>
    <t>EFI JET BODY, GREEN, 0.035" DIA.</t>
  </si>
  <si>
    <t>20581-03M</t>
  </si>
  <si>
    <t>EFI JET BODY, RED, 0.057" DIA.</t>
  </si>
  <si>
    <t>20581-05M</t>
  </si>
  <si>
    <t>EFI JET BODY, BLUE, 0.120" DIA.</t>
  </si>
  <si>
    <t>20581-07M</t>
  </si>
  <si>
    <t>EFI JET BODY, BLACK, 0.200" DIA.</t>
  </si>
  <si>
    <t>8544.42.20.00</t>
  </si>
  <si>
    <t>8432.90.00.30</t>
  </si>
  <si>
    <t>20585-04</t>
  </si>
  <si>
    <t>EFM CABLE ASSEMBLY - FOUR SENSOR - with CONNECTOR, 4' LEAD</t>
  </si>
  <si>
    <t>CONTACT WILGER</t>
  </si>
  <si>
    <t>8471.30.01.00</t>
  </si>
  <si>
    <t>7616.99.51.60</t>
  </si>
  <si>
    <t>9031.90.91.95</t>
  </si>
  <si>
    <t>Taiwan</t>
  </si>
  <si>
    <t>8529.10.40.40</t>
  </si>
  <si>
    <t>20603-05</t>
  </si>
  <si>
    <t>EFM ANTENNA EXT CABLE, 30'</t>
  </si>
  <si>
    <t>20603-06</t>
  </si>
  <si>
    <t>EFM ANTENNA CABLE W/ MAG BASE</t>
  </si>
  <si>
    <t>EFM COMPACT ECU/NODE KIT, 16 CH MAX, WITH ANTENNA</t>
  </si>
  <si>
    <t>EFM COMPACT ECU/NODE, 16 CH MAX</t>
  </si>
  <si>
    <t>EFM COMPACT ECU/NODE HARNESS, 16 CH MAX</t>
  </si>
  <si>
    <t>EFM COMPACT ECU/NODE, CAN TO USB + POWER CABLE</t>
  </si>
  <si>
    <t>20626-00</t>
  </si>
  <si>
    <t>EFM DEMO UNIT KIT, 16 CH MAX, WITH QUAD SENSOR AND 4 OUTLET MANIFOLD ASSY</t>
  </si>
  <si>
    <t>ORIFICE INSERT -BLANK with FKM SEAL</t>
  </si>
  <si>
    <t>21009-00</t>
  </si>
  <si>
    <t>ORIFICE INSERT ASSY-0.009" DIA. ORIFICE with SEAL</t>
  </si>
  <si>
    <t>21009-01</t>
  </si>
  <si>
    <t xml:space="preserve">ORIFICE INSERT -0.009" DIA. ORIFICE </t>
  </si>
  <si>
    <t>21009-V0</t>
  </si>
  <si>
    <t>ORIFICE INSERT ASSY-0.009" DIA. ORIFICE with VITON®  SEAL</t>
  </si>
  <si>
    <t>21011-00</t>
  </si>
  <si>
    <t>ORIFICE INSERT ASSY-0.011" DIA. ORIFICE with SEAL</t>
  </si>
  <si>
    <t>21011-01</t>
  </si>
  <si>
    <t xml:space="preserve">ORIFICE INSERT -0.011" DIA. ORIFICE </t>
  </si>
  <si>
    <t>21011-V0</t>
  </si>
  <si>
    <t>ORIFICE INSERT ASSY-0.011" DIA. ORIFICE with VITON®  SEAL</t>
  </si>
  <si>
    <t>21013-00</t>
  </si>
  <si>
    <t>ORIFICE INSERT ASSY-0.013" DIA. ORIFICE with SEAL</t>
  </si>
  <si>
    <t>21013-01</t>
  </si>
  <si>
    <t xml:space="preserve">ORIFICE INSERT -0.013" DIA. ORIFICE </t>
  </si>
  <si>
    <t>21013-V0</t>
  </si>
  <si>
    <t>ORIFICE INSERT ASSY-0.013" DIA. ORIFICE with VITON®  SEAL</t>
  </si>
  <si>
    <t>21020-00</t>
  </si>
  <si>
    <t>ORIFICE INSERT ASSY-0.020" DIA. ORIFICE with SEAL</t>
  </si>
  <si>
    <t>21020-01</t>
  </si>
  <si>
    <t xml:space="preserve">ORIFICE INSERT -0.020" DIA. ORIFICE </t>
  </si>
  <si>
    <t>21020-V0</t>
  </si>
  <si>
    <t>ORIFICE INSERT ASSY-0.020" DIA. ORIFICE with VITON®  SEAL</t>
  </si>
  <si>
    <t>21046-00</t>
  </si>
  <si>
    <t>ORIFICE INSERT ASSY-0.046" DIA. ORIFICE with SEAL</t>
  </si>
  <si>
    <t>21046-01</t>
  </si>
  <si>
    <t xml:space="preserve">ORIFICE INSERT -0.046" DIA. ORIFICE </t>
  </si>
  <si>
    <t>21046-V0</t>
  </si>
  <si>
    <t>ORIFICE INSERT ASSY-0.046" DIA. ORIFICE with VITON®  SEAL</t>
  </si>
  <si>
    <t>21060-00</t>
  </si>
  <si>
    <t>ORIFICE INSERT ASSY-0.060" DIA. ORIFICE with SEAL</t>
  </si>
  <si>
    <t>21060-01</t>
  </si>
  <si>
    <t>ORIFICE INSERT-0.060" DIA. ORIFICE</t>
  </si>
  <si>
    <t>21060-V0</t>
  </si>
  <si>
    <t>ORIFICE INSERT ASSY-0.060" DIA. ORIFICE with VITON®  SEAL</t>
  </si>
  <si>
    <t>ORIFICE INSERT ASSY-0.070" DIA. ORIFICE with SEAL</t>
  </si>
  <si>
    <t>ORIFICE INSERT-0.070" DIA. ORIFICE</t>
  </si>
  <si>
    <t>ORIFICE INSERT ASSY-0.070" DIA. ORIFICE with VITON®  SEAL</t>
  </si>
  <si>
    <t>21073-00</t>
  </si>
  <si>
    <t>ORIFICE INSERT ASSY-0.073" DIA. ORIFICE with SEAL</t>
  </si>
  <si>
    <t>21073-01</t>
  </si>
  <si>
    <t>ORIFICE INSERT-0.073" DIA. ORIFICE</t>
  </si>
  <si>
    <t>21073-V0</t>
  </si>
  <si>
    <t>ORIFICE INSERT ASSY-0.073" DIA. ORIFICE with VITON®  SEAL</t>
  </si>
  <si>
    <t>21086-00</t>
  </si>
  <si>
    <t>ORIFICE INSERT ASSY-0.086" DIA. ORIFICE with SEAL</t>
  </si>
  <si>
    <t>21086-01</t>
  </si>
  <si>
    <t>ORIFICE INSERT-0.086" DIA. ORIFICE</t>
  </si>
  <si>
    <t>21086-V0</t>
  </si>
  <si>
    <t>ORIFICE INSERT ASSY-0.086" DIA. ORIFICE with VITON®  SEAL</t>
  </si>
  <si>
    <t>21093-00</t>
  </si>
  <si>
    <t>ORIFICE INSERT ASSY-0.093" DIA. ORIFICE with SEAL</t>
  </si>
  <si>
    <t>21093-01</t>
  </si>
  <si>
    <t>ORIFICE INSERT-0.093" DIA. ORIFICE</t>
  </si>
  <si>
    <t>21093-V0</t>
  </si>
  <si>
    <t>ORIFICE INSERT ASSY-0.093" DIA. ORIFICE with VITON®  SEAL</t>
  </si>
  <si>
    <t>21107-00</t>
  </si>
  <si>
    <t>ORIFICE INSERT ASSY-0.107" DIA. ORIFICE with SEAL</t>
  </si>
  <si>
    <t>21107-01</t>
  </si>
  <si>
    <t>ORIFICE INSERT-0.107" DIA. ORIFICE</t>
  </si>
  <si>
    <t>21107-V0</t>
  </si>
  <si>
    <t>ORIFICE INSERT ASSY-0.107" DIA. ORIFICE with VITON®  SEAL</t>
  </si>
  <si>
    <t>21113-00</t>
  </si>
  <si>
    <t>ORIFICE INSERT ASSY-0.113" DIA. ORIFICE with SEAL</t>
  </si>
  <si>
    <t>21113-01</t>
  </si>
  <si>
    <t>ORIFICE INSERT-0.113" DIA. ORIFICE</t>
  </si>
  <si>
    <t>21113-V0</t>
  </si>
  <si>
    <t>ORIFICE INSERT ASSY-0.113" DIA. ORIFICE with VITON®  SEAL</t>
  </si>
  <si>
    <t>21120-00</t>
  </si>
  <si>
    <t>ORIFICE INSERT ASSY-0.120" DIA. ORIFICE with SEAL</t>
  </si>
  <si>
    <t>21120-01</t>
  </si>
  <si>
    <t>ORIFICE INSERT-0.120" DIA. ORIFICE</t>
  </si>
  <si>
    <t>21120-V0</t>
  </si>
  <si>
    <t>ORIFICE INSERT ASSY-0.120" DIA. ORIFICE with VITON®  SEAL</t>
  </si>
  <si>
    <t>21125-00</t>
  </si>
  <si>
    <t>ORIFICE INSERT ASSY-0.125" DIA. ORIFICE with SEAL</t>
  </si>
  <si>
    <t>21125-01</t>
  </si>
  <si>
    <t>ORIFICE INSERT-0.125" DIA. ORIFICE</t>
  </si>
  <si>
    <t>21125-V0</t>
  </si>
  <si>
    <t>ORIFICE INSERT ASSY-0.125" DIA. ORIFICE with VITON®  SEAL</t>
  </si>
  <si>
    <t>21136-00</t>
  </si>
  <si>
    <t>ORIFICE INSERT ASSY-0.136" DIA. ORIFICE with SEAL</t>
  </si>
  <si>
    <t>21136-01</t>
  </si>
  <si>
    <t>ORIFICE INSERT-0.136" DIA. ORIFICE</t>
  </si>
  <si>
    <t>21136-V0</t>
  </si>
  <si>
    <t>ORIFICE INSERT ASSY-0.136" DIA. ORIFICE with VITON®  SEAL</t>
  </si>
  <si>
    <t>21147-00</t>
  </si>
  <si>
    <t>ORIFICE INSERT ASSY-0.147" DIA. ORIFICE with SEAL</t>
  </si>
  <si>
    <t>21147-01</t>
  </si>
  <si>
    <t>ORIFICE INSERT-0.147" DIA. ORIFICE</t>
  </si>
  <si>
    <t>21147-V0</t>
  </si>
  <si>
    <t>ORIFICE INSERT ASSY-0.147" DIA. ORIFICE with VITON®  SEAL</t>
  </si>
  <si>
    <t>21150-00</t>
  </si>
  <si>
    <t>ORIFICE INSERT ASSY-0.150" DIA. ORIFICE with SEAL</t>
  </si>
  <si>
    <t>21150-01</t>
  </si>
  <si>
    <t>ORIFICE INSERT-0.150" DIA. ORIFICE</t>
  </si>
  <si>
    <t>21150-V0</t>
  </si>
  <si>
    <t>ORIFICE INSERT ASSY-0.150" DIA. ORIFICE with VITON®  SEAL</t>
  </si>
  <si>
    <t>21152-00</t>
  </si>
  <si>
    <t>ORIFICE INSERT ASSY-0.152" DIA. ORIFICE with SEAL</t>
  </si>
  <si>
    <t>21152-01</t>
  </si>
  <si>
    <t>ORIFICE INSERT-0.152" DIA. ORIFICE</t>
  </si>
  <si>
    <t>21152-V0</t>
  </si>
  <si>
    <t>ORIFICE INSERT ASSY-0.152" DIA. ORIFICE with VITON®  SEAL</t>
  </si>
  <si>
    <t>O-RING, FKM #116</t>
  </si>
  <si>
    <t xml:space="preserve">O-RING, FKM  #214, VITON® </t>
  </si>
  <si>
    <t xml:space="preserve">O-RING, FKM  #216, VITON® </t>
  </si>
  <si>
    <t>QN BOOM-END FLUSH VALVE - QN100 -  FEMALE THREAD - VITON®  SEALS, LONG HANDLE</t>
  </si>
  <si>
    <t>QN BOOM-END FLUSH VALVE - QN100 -  FEMALE THREAD - VITON®  SEALS</t>
  </si>
  <si>
    <t>7318.15.00.45</t>
  </si>
  <si>
    <t>Nut, 1/4" SS,CASTLE</t>
  </si>
  <si>
    <t>27311-02</t>
  </si>
  <si>
    <t>QF100 - Clamp Washer, 1/4", SS</t>
  </si>
  <si>
    <t>27318-00</t>
  </si>
  <si>
    <t>QF100 - Seal,SST-to-SST, Viton</t>
  </si>
  <si>
    <t>27319-00</t>
  </si>
  <si>
    <t>QF100 - Seal, TWS-to-TWS, Viton</t>
  </si>
  <si>
    <t>27326-00</t>
  </si>
  <si>
    <t>QF100 Coupling, 45</t>
  </si>
  <si>
    <t>QF100 x 1" HB, Straight</t>
  </si>
  <si>
    <t>27332-00</t>
  </si>
  <si>
    <t>QF100 x 1" HB, 45</t>
  </si>
  <si>
    <t>27342-00</t>
  </si>
  <si>
    <t>QF100 x 1-1/4" HB, 45</t>
  </si>
  <si>
    <t>27360-00</t>
  </si>
  <si>
    <t>QF100 CRBEFV, BASE UNIT ASSY</t>
  </si>
  <si>
    <t>27360-02</t>
  </si>
  <si>
    <t>QF100 CRBEFV, MAIN BODY</t>
  </si>
  <si>
    <t>27360-03</t>
  </si>
  <si>
    <t>QF100 CRBEFV, INSERT</t>
  </si>
  <si>
    <t>27361-00</t>
  </si>
  <si>
    <t>QF100 CRBEFV, RECIRV MODEL, WITH PLUGS</t>
  </si>
  <si>
    <t>27362-00</t>
  </si>
  <si>
    <t>QF100 CRBEFV, NON-RECIRC ASSY, WITH PLUGS AND CLAMP</t>
  </si>
  <si>
    <t>27362-WN</t>
  </si>
  <si>
    <t>QF100 CRBEFV, NON-RECIRC ASSY, WITH PLUGS AND CLAMP WITH BUTTERFLY NUT</t>
  </si>
  <si>
    <t>27371-00</t>
  </si>
  <si>
    <t>Sweep Tee, QF100 x QF100 x QF100</t>
  </si>
  <si>
    <t>27372-00</t>
  </si>
  <si>
    <t>Sweep Tee, QF100 x QF100 x 1-1/4" HB</t>
  </si>
  <si>
    <t>27373-00</t>
  </si>
  <si>
    <t>Sweep Tee, QF100 x QF100 x 1" HB</t>
  </si>
  <si>
    <t>27381-00</t>
  </si>
  <si>
    <t>27381-01</t>
  </si>
  <si>
    <t>CUT PIPE ADAPTER, LOWER HALF, 3/8" HOLE</t>
  </si>
  <si>
    <t>27381-02</t>
  </si>
  <si>
    <t>CUT PIPE ADAPTER, UPPER HALF, 3/8" HOLE</t>
  </si>
  <si>
    <t>27381-03</t>
  </si>
  <si>
    <t>QF100 CUT PIPE ADAPTER, FLANGED END</t>
  </si>
  <si>
    <t>27381-04</t>
  </si>
  <si>
    <t>27381-05</t>
  </si>
  <si>
    <t>27382-00</t>
  </si>
  <si>
    <t>27382-01</t>
  </si>
  <si>
    <t>QF100 THROUGH PIPE ADAPTER, END</t>
  </si>
  <si>
    <t>27382-02</t>
  </si>
  <si>
    <t>O-RINGS ??</t>
  </si>
  <si>
    <t>O-RING - FKM # 110, 90 DUROMETER</t>
  </si>
  <si>
    <t>O-RING - VITON®  # 110</t>
  </si>
  <si>
    <t>40180-09</t>
  </si>
  <si>
    <t>SQ LUG. CAP BLANK - GREY</t>
  </si>
  <si>
    <t>40204-S0</t>
  </si>
  <si>
    <t>TWISTLOCK ADAPTER ASSY. - SL to COMBO-JET without O-RING</t>
  </si>
  <si>
    <t>40206-S0</t>
  </si>
  <si>
    <t>TWISTLOCK DOUBLR DOWN ASSY. - SL to COMBO-JET without O-RING</t>
  </si>
  <si>
    <t>40207-00</t>
  </si>
  <si>
    <t>ADAPER ASSY. - JACTO TO COMBO-JET</t>
  </si>
  <si>
    <t>40207-01</t>
  </si>
  <si>
    <t>ADAPTER BODY - JATCO TO COMBO-JET</t>
  </si>
  <si>
    <t>40210-00</t>
  </si>
  <si>
    <t>COMBO-JET EXTENSION ADAPTER ASSY, 2"</t>
  </si>
  <si>
    <t>40210-01</t>
  </si>
  <si>
    <t>COMBO-JET EXTENSION ADAPTER BODY, 2"</t>
  </si>
  <si>
    <t>40211-00</t>
  </si>
  <si>
    <t>COMBO-JET EXTENSION ADAPTER ASSY, 5"</t>
  </si>
  <si>
    <t>40211-01</t>
  </si>
  <si>
    <t>COMBO-JET EXTENSION ADAPTER BODY, 5"</t>
  </si>
  <si>
    <t>O-RING, 9/16 x 11/16 FKM 015</t>
  </si>
  <si>
    <t>RL CAP- PLUG - BLACK W/ FKM O-RING</t>
  </si>
  <si>
    <t>RL CAP ASSY- 1/4" NPT F - BLACK, W/ ADAPTER AND FKM O-RING</t>
  </si>
  <si>
    <t>RL CAP ASSY- 1/4" NPT F, 45° - BLACK, W/ ADAPTER AND FKM O-RING</t>
  </si>
  <si>
    <t>RL CAP ASSY - 1/8" NPT F - BLACK, W/ ADAPTER AND FKM O-RING</t>
  </si>
  <si>
    <t>40288-31</t>
  </si>
  <si>
    <t>40292-M05</t>
  </si>
  <si>
    <t>UR COMBO-JET TIP/CAP ASSY - UR110-05, BROWN, EXTENDIMAX</t>
  </si>
  <si>
    <t>40292-M06</t>
  </si>
  <si>
    <t>UR COMBO-JET TIP/CAP ASSY - UR110-06, GREY, EXTENDIMAX</t>
  </si>
  <si>
    <t>40292-M08</t>
  </si>
  <si>
    <t>UR COMBO-JET TIP/CAP ASSY - UR110-08, WHITE, EXTENDIMAX</t>
  </si>
  <si>
    <t>40292-M10</t>
  </si>
  <si>
    <t>UR COMBO-JET TIP/CAP ASSY - UR110-10, LT BLUE, EXTENDIMAX</t>
  </si>
  <si>
    <t>CAP ASSY, 1/8" HOSE BARB, BLACK,W/ ADAPTER AND FKM O-RING</t>
  </si>
  <si>
    <t>40422-01</t>
  </si>
  <si>
    <t>CAP,CJ,HB,1/4",RED</t>
  </si>
  <si>
    <t>40422-02</t>
  </si>
  <si>
    <t>CAP,CJ,HB,1/4",WHT</t>
  </si>
  <si>
    <t>40422-03</t>
  </si>
  <si>
    <t>CAP,CJ,HB,1/4",GRN</t>
  </si>
  <si>
    <t>40422-04</t>
  </si>
  <si>
    <t>CAP,CJ,HB,1/4",YEL</t>
  </si>
  <si>
    <t>CAP ASSY, 1/4" HOSE BARB, BLACK,W/ ADAPTER AND FKM O-RING</t>
  </si>
  <si>
    <t>40424-01</t>
  </si>
  <si>
    <t>CAP,CJ,HB,3/8",RED</t>
  </si>
  <si>
    <t>40424-02</t>
  </si>
  <si>
    <t>CAP,CJ,HB,3/8",WHT</t>
  </si>
  <si>
    <t>40424-03</t>
  </si>
  <si>
    <t>CAP,CJ,HB,3/8",GRN</t>
  </si>
  <si>
    <t>40424-04</t>
  </si>
  <si>
    <t>CAP,CJ,HB,3/8",YEL</t>
  </si>
  <si>
    <t>40424-06</t>
  </si>
  <si>
    <t>CAP,CJ,HB,3/8", BLUE</t>
  </si>
  <si>
    <t>CAP ASSY, 3/8" HOSE BARB, BLACK,W/ ADAPTER AND FKM O-RING</t>
  </si>
  <si>
    <t>40426-01</t>
  </si>
  <si>
    <t>CAP,CJ,HB,1/2",RED</t>
  </si>
  <si>
    <t>40426-02</t>
  </si>
  <si>
    <t>CAP,CJ,HB,1/2",WHT</t>
  </si>
  <si>
    <t>40426-03</t>
  </si>
  <si>
    <t>CAP,CJ,HB,1/2",GRN</t>
  </si>
  <si>
    <t>40426-04</t>
  </si>
  <si>
    <t>CAP,CJ,HB,1/2",YEL</t>
  </si>
  <si>
    <t>CAP ASSY, 1/2" HOSE BARB, BLACK,W/ ADAPTER AND FKM O-RING</t>
  </si>
  <si>
    <t>RL CAP ASSY- 1/4" TUBE PUSH-IN FITTING ASSY - BLACK,W/ ADAPTER AND FKM O-RING</t>
  </si>
  <si>
    <t>RL CAP ASSY- 3/8" TUBE PUSH-IN FITTING ASSY - BLACK,W/ ADAPTER AND FKM O-RING</t>
  </si>
  <si>
    <t>40443-005</t>
  </si>
  <si>
    <t>COMBO-JET FERTILIZER STREAMER CAP ASSY, 3-HOLE, 005, BLACK</t>
  </si>
  <si>
    <t>40443-007</t>
  </si>
  <si>
    <t>COMBO-JET FERTILIZER STREAMER CAP ASSY, 3-HOLE, 0067, PINK</t>
  </si>
  <si>
    <t>40443-01</t>
  </si>
  <si>
    <t>COMBO-JET FERTILIZER STREAMER CAP ASSY, 3-HOLE, 01, ORANGE</t>
  </si>
  <si>
    <t>40443-015</t>
  </si>
  <si>
    <t>COMBO-JET FERTILIZER STREAMER CAP ASSY, 3-HOLE, 015, GREEN</t>
  </si>
  <si>
    <t>40443-02</t>
  </si>
  <si>
    <t>COMBO-JET FERTILIZER STREAMER CAP ASSY, 3-HOLE, 02, YELLOW</t>
  </si>
  <si>
    <t>40443-025</t>
  </si>
  <si>
    <t>COMBO-JET FERTILIZER STREAMER CAP ASSY, 3-HOLE, 025, PURPLE</t>
  </si>
  <si>
    <t>40443-03</t>
  </si>
  <si>
    <t>COMBO-JET FERTILIZER STREAMER CAP ASSY, 3-HOLE, 03, BLUE</t>
  </si>
  <si>
    <t>40443-035</t>
  </si>
  <si>
    <t>COMBO-JET FERTILIZER STREAMER CAP ASSY, 3-HOLE, 035, RED-BROWN</t>
  </si>
  <si>
    <t>40443-04</t>
  </si>
  <si>
    <t>COMBO-JET FERTILIZER STREAMER CAP ASSY, 3-HOLE, 04, RED</t>
  </si>
  <si>
    <t>40443-05</t>
  </si>
  <si>
    <t>COMBO-JET FERTILIZER STREAMER CAP ASSY, 3-HOLE, 05, BROWN</t>
  </si>
  <si>
    <t>40443-06</t>
  </si>
  <si>
    <t>COMBO-JET FERTILIZER STREAMER CAP ASSY, 3-HOLE, 06, GREY</t>
  </si>
  <si>
    <t>40443-08</t>
  </si>
  <si>
    <t>COMBO-JET FERTILIZER STREAMER CAP ASSY, 3-HOLE, 08, WHITE</t>
  </si>
  <si>
    <t>40443-10</t>
  </si>
  <si>
    <t>COMBO-JET FERTILIZER STREAMER CAP ASSY, 3-HOLE, 10, LIGHT BLUE</t>
  </si>
  <si>
    <t>40443-125</t>
  </si>
  <si>
    <t>COMBO-JET FERTILIZER STREAMER CAP ASSY, 3-HOLE, 12.5, TEAL</t>
  </si>
  <si>
    <t>40443-15</t>
  </si>
  <si>
    <t>COMBO-JET FERTILIZER STREAMER CAP ASSY, 3-HOLE, 15, LIGHT GREEN</t>
  </si>
  <si>
    <t>40443-20</t>
  </si>
  <si>
    <t>COMBO-JET FERTILIZER STREAMER CAP ASSY, 3-HOLE, 20, TAN</t>
  </si>
  <si>
    <t>40443-25</t>
  </si>
  <si>
    <t>COMBO-JET FERTILIZER STREAMER CAP ASSY, 3-HOLE, 25, BLACK</t>
  </si>
  <si>
    <t>40443-30</t>
  </si>
  <si>
    <t>COMBO-JET FERTILIZER STREAMER CAP ASSY, 3-HOLE, 30, BLACK</t>
  </si>
  <si>
    <t>40443-40</t>
  </si>
  <si>
    <t>COMBO-JET FERTILIZER STREAMER CAP ASSY, 3-HOLE, 40, BLACK</t>
  </si>
  <si>
    <t>40443-50</t>
  </si>
  <si>
    <t>COMBO-JET FERTILIZER STREAMER CAP ASSY, 3-HOLE, 50, BLACK</t>
  </si>
  <si>
    <t>40443-60</t>
  </si>
  <si>
    <t>COMBO-JET FERTILIZER STREAMER CAP BODY, 3-HOLE, 0.047", BLACK</t>
  </si>
  <si>
    <t>40443-61</t>
  </si>
  <si>
    <t>COMBO-JET FERTILIZER STREAMER CAP BODY, 3-HOLE, 0.047", PINK</t>
  </si>
  <si>
    <t>40443-62</t>
  </si>
  <si>
    <t>COMBO-JET FERTILIZER STREAMER CAP BODY, 3-HOLE, 0.047", ORANGE</t>
  </si>
  <si>
    <t>40443-63</t>
  </si>
  <si>
    <t>COMBO-JET FERTILIZER STREAMER CAP BODY, 3-HOLE, 0.047", GREEN</t>
  </si>
  <si>
    <t>40443-64</t>
  </si>
  <si>
    <t>COMBO-JET FERTILIZER STREAMER CAP BODY, 3-HOLE, 0.067", YELLOW</t>
  </si>
  <si>
    <t>40443-65</t>
  </si>
  <si>
    <t>COMBO-JET FERTILIZER STREAMER CAP BODY, 3-HOLE, 0.067" PURPLE</t>
  </si>
  <si>
    <t>40443-66</t>
  </si>
  <si>
    <t>COMBO-JET FERTILIZER STREAMER CAP BODY, 3-HOLE, 0.067" BLUE</t>
  </si>
  <si>
    <t>40443-67</t>
  </si>
  <si>
    <t>COMBO-JET FERTILIZER STREAMER CAP BODY, 3-HOLE, 0.067" RED-BROWN</t>
  </si>
  <si>
    <t>40443-68</t>
  </si>
  <si>
    <t>COMBO-JET FERTILIZER STREAMER CAP BODY, 3-HOLE, 0.067", RED</t>
  </si>
  <si>
    <t>40443-69</t>
  </si>
  <si>
    <t>COMBO-JET FERTILIZER STREAMER CAP BODY, 3-HOLE, 0.067", BROWN</t>
  </si>
  <si>
    <t>40443-70</t>
  </si>
  <si>
    <t>COMBO-JET FERTILIZER STREAMER CAP BODY, 3-HOLE, 0.067", GREY</t>
  </si>
  <si>
    <t>40443-71</t>
  </si>
  <si>
    <t>COMBO-JET FERTILIZER STREAMER CAP BODY, 3-HOLE, 0.067", WHITE</t>
  </si>
  <si>
    <t>40443-72</t>
  </si>
  <si>
    <t>COMBO-JET FERTILIZER STREAMER CAP BODY, 3-HOLE,0.104", LIGHT BLUE</t>
  </si>
  <si>
    <t>40443-73</t>
  </si>
  <si>
    <t>COMBO-JET FERTILIZER STREAMER CAP BODY, 3-HOLE, 0.104", TEAL</t>
  </si>
  <si>
    <t>40443-74</t>
  </si>
  <si>
    <t>COMBO-JET FERTILIZER STREAMER CAP BODY, 3-HOLE, 0.104", LIGHT GREEN</t>
  </si>
  <si>
    <t>40443-75</t>
  </si>
  <si>
    <t>COMBO-JET FERTILIZER STREAMER CAP BODY, 3-HOLE, 0.104", TAN</t>
  </si>
  <si>
    <t>40443-76</t>
  </si>
  <si>
    <t>COMBO-JET FERTILIZER STREAMER CAP BODY, 3-HOLE, 0.104", BLACK</t>
  </si>
  <si>
    <t>40443-80</t>
  </si>
  <si>
    <t>COMBO-JET FERTILIZER STREAMER CAP DIFFUSER, BLACK</t>
  </si>
  <si>
    <t>40443-81</t>
  </si>
  <si>
    <t>COMBO-JET FERTILIZER STREAMER CAP DIFFUSER, PINK</t>
  </si>
  <si>
    <t>40443-82</t>
  </si>
  <si>
    <t>COMBO-JET FERTILIZER STREAMER CAP DIFFUSER, ORANGE</t>
  </si>
  <si>
    <t>40443-83</t>
  </si>
  <si>
    <t>COMBO-JET FERTILIZER STREAMER CAP DIFFUSER, GREEN</t>
  </si>
  <si>
    <t>40443-84</t>
  </si>
  <si>
    <t>COMBO-JET FERTILIZER STREAMER CAP DIFFUSER, YELLOW</t>
  </si>
  <si>
    <t>40443-85</t>
  </si>
  <si>
    <t>COMBO-JET FERTILIZER STREAMER CAP DIFFUSER, PURPLE</t>
  </si>
  <si>
    <t>40443-86</t>
  </si>
  <si>
    <t>COMBO-JET FERTILIZER STREAMER CAP DIFFUSER, BLUE</t>
  </si>
  <si>
    <t>40443-87</t>
  </si>
  <si>
    <t>COMBO-JET FERTILIZER STREAMER CAP DIFFUSER, RED-BROWN</t>
  </si>
  <si>
    <t>40443-88</t>
  </si>
  <si>
    <t>COMBO-JET FERTILIZER STREAMER CAP DIFFUSER, RED</t>
  </si>
  <si>
    <t>40443-89</t>
  </si>
  <si>
    <t>COMBO-JET FERTILIZER STREAMER CAP DIFFUSER, BROWN</t>
  </si>
  <si>
    <t>40443-90</t>
  </si>
  <si>
    <t>COMBO-JET FERTILIZER STREAMER CAP DIFFUSER, GREY</t>
  </si>
  <si>
    <t>40443-91</t>
  </si>
  <si>
    <t>COMBO-JET FERTILIZER STREAMER CAP DIFFUSER, WHITE</t>
  </si>
  <si>
    <t>40443-92</t>
  </si>
  <si>
    <t>COMBO-JET FERTILIZER STREAMER CAP DIFFUSER, LIGHT BLUE</t>
  </si>
  <si>
    <t>40443-93</t>
  </si>
  <si>
    <t>COMBO-JET FERTILIZER STREAMER CAP DIFFUSER, TEAL</t>
  </si>
  <si>
    <t>40443-94</t>
  </si>
  <si>
    <t>COMBO-JET FERTILIZER STREAMER CAP DIFFUSER, LIGHT GREEN</t>
  </si>
  <si>
    <t>40443-95</t>
  </si>
  <si>
    <t>COMBO-JET FERTILIZER STREAMER CAP DIFFUSER, TAN</t>
  </si>
  <si>
    <t>RL CAP ASSY- 5/16" TUBE PUSH-IN FITTING ASSY - BLACK,W/ ADAPTER AND FKM O-RING</t>
  </si>
  <si>
    <t>40621-P4</t>
  </si>
  <si>
    <t>WET BOOM BODY ASSY -SINGLE- COMBO-JET, 1" PIPE, BOLT MOUNT CLAMP, 4PSI</t>
  </si>
  <si>
    <t>40621-S0</t>
  </si>
  <si>
    <t>WET BOOM BODY ASSY -SINGLE- COMBO-JET, 1" PIPE, BOLT MOUNT CLAMP, SEMI-ASSEMBLED</t>
  </si>
  <si>
    <t>40661-S0</t>
  </si>
  <si>
    <t>WET BOOM BODY ASSY -SINGLE- SQUARE LUG, 1" PIPE, BOLT MOUNT CLAMP, SEMI-ASSEMBLED</t>
  </si>
  <si>
    <t>40662-P15</t>
  </si>
  <si>
    <t>WET BOOM BODY ASSY - DUAL - SQUARE LUG, 1" PIPE, BOLT MOUNT CLAMP, 15PSI MODULE</t>
  </si>
  <si>
    <t>41100-13</t>
  </si>
  <si>
    <t>COMBO-RATE DIAPHRAGM MODULE, BLUE</t>
  </si>
  <si>
    <t>41111-P4</t>
  </si>
  <si>
    <t>COMBO-RATE END BODY ASSY, MANUAL ON/OFF, 4PSI</t>
  </si>
  <si>
    <t>O-RING - FKM #005</t>
  </si>
  <si>
    <t>O-RING, FKM, #012</t>
  </si>
  <si>
    <t>O-RING - FKM #112</t>
  </si>
  <si>
    <t>7318.15.00.10</t>
  </si>
  <si>
    <t>41202-02</t>
  </si>
  <si>
    <t>SADDLE BACKSTRAP,1.25" TUBING</t>
  </si>
  <si>
    <t>O-RING - FKM # 218</t>
  </si>
  <si>
    <t>HI-LO SCREW -#10 x 1/2" PHILIPS</t>
  </si>
  <si>
    <t>41361-00</t>
  </si>
  <si>
    <t>COMBO-RATE DIAPHRAGM SADDLE BODY ASSY, ONE-WAY, 1" PIPE, 21/32" INLET</t>
  </si>
  <si>
    <t>41361-01</t>
  </si>
  <si>
    <t>COMBO-RATE DIAPHRAGM SADDLE BODY, ONE-WAY, 1" PIPE, 21/32" INLET</t>
  </si>
  <si>
    <t>O-RING, FKM, #115</t>
  </si>
  <si>
    <t>41379-00</t>
  </si>
  <si>
    <t>WET BOOM TOP/BOTTOM SADDLE ASSY, ONE-WAY, 1"PIPE, 21/32" INLET</t>
  </si>
  <si>
    <t>41379-01</t>
  </si>
  <si>
    <t>WET BOOM TOP/BOTTOM SADDLE, ONE-WAY, 1"PIPE, 21/32" INLET</t>
  </si>
  <si>
    <t>O-RING - FKM #121</t>
  </si>
  <si>
    <t>COMBO-RATE TURRET BODY REPAIR KIT (2 BODIES) - FKM</t>
  </si>
  <si>
    <t>41602-06</t>
  </si>
  <si>
    <t>41602-07</t>
  </si>
  <si>
    <t>41602-08</t>
  </si>
  <si>
    <t>41602-09</t>
  </si>
  <si>
    <t>41701-CS</t>
  </si>
  <si>
    <t>BOOM TUBE, 1.315" OD, QN RIB, CUSTOM LENGTH</t>
  </si>
  <si>
    <t>41706-02</t>
  </si>
  <si>
    <t>BOOM TUBE, 1.315" OD, QF100 ENDS, 2-HOLE STD 20" SPACING, w/ 1.75" ENDS</t>
  </si>
  <si>
    <t>41706-03</t>
  </si>
  <si>
    <t>BOOM TUBE, 1.315" OD, QF100 ENDS, 3-HOLE STD 20" SPACING, w/ 1.75" ENDS</t>
  </si>
  <si>
    <t>41706-04</t>
  </si>
  <si>
    <t>BOOM TUBE, 1.315" OD, QF100 ENDS, 4-HOLE STD 20" SPACING, w/ 1.75" ENDS</t>
  </si>
  <si>
    <t>41706-05</t>
  </si>
  <si>
    <t>BOOM TUBE, 1.315" OD, QF100 ENDS, 5-HOLE STD 20" SPACING, w/ 1.75" ENDS</t>
  </si>
  <si>
    <t>41706-06</t>
  </si>
  <si>
    <t>BOOM TUBE, 1.315" OD, QF100 ENDS, 6-HOLE STD 20" SPACING, w/ 1.75" ENDS</t>
  </si>
  <si>
    <t>41706-07</t>
  </si>
  <si>
    <t>BOOM TUBE, 1.315" OD, QF100 ENDS, 7-HOLE STD 20" SPACING, w/ 1.75" ENDS</t>
  </si>
  <si>
    <t>41706-08</t>
  </si>
  <si>
    <t>BOOM TUBE, 1.315" OD, QF100 ENDS, 8-HOLE STD 20" SPACING, w/ 1.75" ENDS</t>
  </si>
  <si>
    <t>41706-09</t>
  </si>
  <si>
    <t>BOOM TUBE, 1.315" OD, QF100 ENDS, 9-HOLE STD 20" SPACING, w/ 1.75" ENDS</t>
  </si>
  <si>
    <t>41706-10</t>
  </si>
  <si>
    <t>BOOM TUBE, 1.315" OD, QF100 ENDS, 10-HOLE STD 20" SPACING, w/ 1.75" ENDS</t>
  </si>
  <si>
    <t>41706-11</t>
  </si>
  <si>
    <t>BOOM TUBE, 1.315" OD, QF100 ENDS, 11-HOLE STD 20" SPACING, w/ 1.75" ENDS</t>
  </si>
  <si>
    <t>41706-12</t>
  </si>
  <si>
    <t>BOOM TUBE, 1.315" OD, QF100 ENDS, 12-HOLE STD 20" SPACING, w/ 1.75" ENDS</t>
  </si>
  <si>
    <t>41707-02</t>
  </si>
  <si>
    <t>BOOM TUBE, 1.315" OD, QF100 ENDS, 2-HOLE, 20" SPACING, 1.75"/8.25" ENDS for 3.25" TEE</t>
  </si>
  <si>
    <t>41707-03</t>
  </si>
  <si>
    <t>BOOM TUBE, 1.315" OD, QF100 ENDS, 3-HOLE, 20" SPACING, 1.75"/8.25" ENDS for 3.25" TEE</t>
  </si>
  <si>
    <t>41707-04</t>
  </si>
  <si>
    <t>BOOM TUBE, 1.315" OD, QF100 ENDS, 4-HOLE, 20" SPACING, 1.75"/8.25" ENDS for 3.25" TEE</t>
  </si>
  <si>
    <t>41707-05</t>
  </si>
  <si>
    <t>BOOM TUBE, 1.315" OD, QF100 ENDS, 5-HOLE, 20" SPACING, 1.75"/8.25" ENDS for 3.25" TEE</t>
  </si>
  <si>
    <t>41707-06</t>
  </si>
  <si>
    <t>BOOM TUBE, 1.315" OD, QF100 ENDS, 6-HOLE, 20" SPACING, 1.75"/8.25" ENDS for 3.25" TEE</t>
  </si>
  <si>
    <t>41707-07</t>
  </si>
  <si>
    <t>BOOM TUBE, 1.315" OD, QF100 ENDS, 7-HOLE, 20" SPACING, 1.75"/8.25" ENDS for 3.25" TEE</t>
  </si>
  <si>
    <t>41707-08</t>
  </si>
  <si>
    <t>BOOM TUBE, 1.315" OD, QF100 ENDS, 8-HOLE, 20" SPACING, 1.75"/8.25" ENDS for 3.25" TEE</t>
  </si>
  <si>
    <t>41707-09</t>
  </si>
  <si>
    <t>BOOM TUBE, 1.315" OD, QF100 ENDS, 9-HOLE, 20" SPACING, 1.75"/8.25" ENDS for 3.25" TEE</t>
  </si>
  <si>
    <t>41707-10</t>
  </si>
  <si>
    <t>BOOM TUBE, 1.315" OD, QF100 ENDS, 10-HOLE, 20" SPACING, 1.75"/8.25" ENDS for 3.25" TEE</t>
  </si>
  <si>
    <t>41707-11</t>
  </si>
  <si>
    <t>BOOM TUBE, 1.315" OD, QF100 ENDS, 11-HOLE, 20" SPACING, 1.75"/8.25" ENDS for 3.25" TEE</t>
  </si>
  <si>
    <t>41816-22</t>
  </si>
  <si>
    <t>41836-22</t>
  </si>
  <si>
    <t>COMBO-RATE DOUBLE-DOWN TOP TAKE OFF TURRET ASSY,2+2+1DD,  w/o NUT</t>
  </si>
  <si>
    <t>43550-01</t>
  </si>
  <si>
    <t>ADP BODY - PROSTOP-E/WILGER</t>
  </si>
  <si>
    <t>50117-00</t>
  </si>
  <si>
    <t>50530-04</t>
  </si>
  <si>
    <t>4 PACK ACCESSORY KIT, FOR 4 FLOW INDICATORS</t>
  </si>
  <si>
    <t>50530-10</t>
  </si>
  <si>
    <t>10 PACK ACCESSORY KIT, FOR 10 FLOW INDICATORS</t>
  </si>
  <si>
    <t>O-RING - FKM # 207</t>
  </si>
  <si>
    <t>O-RING - FKM # 106</t>
  </si>
  <si>
    <t>51335-00</t>
  </si>
  <si>
    <t>CRII HINGED PLUG ASSY, ONE-WAY, 1"PIPE, SMOOTH AND PLUGGED</t>
  </si>
  <si>
    <t>51335-01</t>
  </si>
  <si>
    <t>CRII HINGED PLUG BODY, ONE-WAY, 1"PIPE, SMOOTH AND PLUGGED</t>
  </si>
  <si>
    <t>Notes</t>
  </si>
  <si>
    <t>International</t>
  </si>
  <si>
    <t>Saleable, New for 2021-22</t>
  </si>
  <si>
    <t>Part#</t>
  </si>
  <si>
    <t>2022-23 MASTER PRICE/COST LIST</t>
  </si>
  <si>
    <t>CDN</t>
  </si>
  <si>
    <t>USD</t>
  </si>
  <si>
    <t>Weight</t>
  </si>
  <si>
    <t>(grams)</t>
  </si>
  <si>
    <t>UPC Barcode</t>
  </si>
  <si>
    <t/>
  </si>
  <si>
    <t>848798000525</t>
  </si>
  <si>
    <t>848798000532</t>
  </si>
  <si>
    <t>848798000549</t>
  </si>
  <si>
    <t>848798000761</t>
  </si>
  <si>
    <t>848798000778</t>
  </si>
  <si>
    <t>848798000785</t>
  </si>
  <si>
    <t>848798000792</t>
  </si>
  <si>
    <t>848798000808</t>
  </si>
  <si>
    <t>848798000839</t>
  </si>
  <si>
    <t>848798000860</t>
  </si>
  <si>
    <t>848798013839</t>
  </si>
  <si>
    <t>848798013846</t>
  </si>
  <si>
    <t>848798000877</t>
  </si>
  <si>
    <t>848798000884</t>
  </si>
  <si>
    <t>848798013853</t>
  </si>
  <si>
    <t>848798013884</t>
  </si>
  <si>
    <t>848798013891</t>
  </si>
  <si>
    <t>848798000891</t>
  </si>
  <si>
    <t>848798000907</t>
  </si>
  <si>
    <t>848798000914</t>
  </si>
  <si>
    <t>848798000921</t>
  </si>
  <si>
    <t>848798000938</t>
  </si>
  <si>
    <t>848798000945</t>
  </si>
  <si>
    <t>848798000952</t>
  </si>
  <si>
    <t>848798000969</t>
  </si>
  <si>
    <t>848798000976</t>
  </si>
  <si>
    <t>848798000983</t>
  </si>
  <si>
    <t>848798000990</t>
  </si>
  <si>
    <t>848798001003</t>
  </si>
  <si>
    <t>848798001010</t>
  </si>
  <si>
    <t>848798010661</t>
  </si>
  <si>
    <t>848798010678</t>
  </si>
  <si>
    <t>848798012658</t>
  </si>
  <si>
    <t>848798013907</t>
  </si>
  <si>
    <t>848798001027</t>
  </si>
  <si>
    <t>848798013914</t>
  </si>
  <si>
    <t>848798013921</t>
  </si>
  <si>
    <t>848798013938</t>
  </si>
  <si>
    <t>848798013945</t>
  </si>
  <si>
    <t>848798001034</t>
  </si>
  <si>
    <t>848798013952</t>
  </si>
  <si>
    <t>848798012665</t>
  </si>
  <si>
    <t>848798013969</t>
  </si>
  <si>
    <t>848798013976</t>
  </si>
  <si>
    <t>848798013983</t>
  </si>
  <si>
    <t>848798013990</t>
  </si>
  <si>
    <t>848798014003</t>
  </si>
  <si>
    <t>848798014010</t>
  </si>
  <si>
    <t>848798014027</t>
  </si>
  <si>
    <t>848798014034</t>
  </si>
  <si>
    <t>848798014041</t>
  </si>
  <si>
    <t>848798014058</t>
  </si>
  <si>
    <t>848798014065</t>
  </si>
  <si>
    <t>848798014072</t>
  </si>
  <si>
    <t>848798014089</t>
  </si>
  <si>
    <t>848798014096</t>
  </si>
  <si>
    <t>848798014102</t>
  </si>
  <si>
    <t>848798001041</t>
  </si>
  <si>
    <t>848798001058</t>
  </si>
  <si>
    <t>848798001065</t>
  </si>
  <si>
    <t>848798001072</t>
  </si>
  <si>
    <t>848798001089</t>
  </si>
  <si>
    <t>848798001096</t>
  </si>
  <si>
    <t>848798001102</t>
  </si>
  <si>
    <t>848798001119</t>
  </si>
  <si>
    <t>848798001126</t>
  </si>
  <si>
    <t>848798014119</t>
  </si>
  <si>
    <t>848798014126</t>
  </si>
  <si>
    <t>848798014133</t>
  </si>
  <si>
    <t>848798014140</t>
  </si>
  <si>
    <t>848798014157</t>
  </si>
  <si>
    <t>848798014164</t>
  </si>
  <si>
    <t>848798014171</t>
  </si>
  <si>
    <t>848798014188</t>
  </si>
  <si>
    <t>848798014195</t>
  </si>
  <si>
    <t>848798014201</t>
  </si>
  <si>
    <t>848798014218</t>
  </si>
  <si>
    <t>20509-00</t>
  </si>
  <si>
    <t>FITTING  - ORS x DUAL 1/4" PUSH-IN TUBE - STRAIGHT</t>
  </si>
  <si>
    <t>20509-01</t>
  </si>
  <si>
    <t>FITTING BODY - ORS x DUAL 1/4" PUSH-IN TUBE - STRAIGHT</t>
  </si>
  <si>
    <t>20509-V0</t>
  </si>
  <si>
    <t>FITTING  - VITON®  ORS x DUAL 1/4" PUSH-IN TUBE - STRAIGHT</t>
  </si>
  <si>
    <t>848798001133</t>
  </si>
  <si>
    <t>848798001140</t>
  </si>
  <si>
    <t>848798001157</t>
  </si>
  <si>
    <t>848798001164</t>
  </si>
  <si>
    <t>848798001171</t>
  </si>
  <si>
    <t>848798001188</t>
  </si>
  <si>
    <t>848798001195</t>
  </si>
  <si>
    <t>848798001201</t>
  </si>
  <si>
    <t>848798001218</t>
  </si>
  <si>
    <t>848798012177</t>
  </si>
  <si>
    <t>848798012184</t>
  </si>
  <si>
    <t>848798012191</t>
  </si>
  <si>
    <t>848798014225</t>
  </si>
  <si>
    <t>848798014232</t>
  </si>
  <si>
    <t>848798014249</t>
  </si>
  <si>
    <t>848798014256</t>
  </si>
  <si>
    <t>848798014263</t>
  </si>
  <si>
    <t>848798014270</t>
  </si>
  <si>
    <t>848798014287</t>
  </si>
  <si>
    <t>848798014294</t>
  </si>
  <si>
    <t>848798014300</t>
  </si>
  <si>
    <t>848798001225</t>
  </si>
  <si>
    <t>848798001232</t>
  </si>
  <si>
    <t>848798001249</t>
  </si>
  <si>
    <t>848798001256</t>
  </si>
  <si>
    <t>848798001263</t>
  </si>
  <si>
    <t>848798001270</t>
  </si>
  <si>
    <t>848798001287</t>
  </si>
  <si>
    <t>848798001294</t>
  </si>
  <si>
    <t>848798001300</t>
  </si>
  <si>
    <t>848798001317</t>
  </si>
  <si>
    <t>848798001324</t>
  </si>
  <si>
    <t>848798001331</t>
  </si>
  <si>
    <t>848798001348</t>
  </si>
  <si>
    <t>848798001355</t>
  </si>
  <si>
    <t>848798001362</t>
  </si>
  <si>
    <t>848798001379</t>
  </si>
  <si>
    <t>848798001386</t>
  </si>
  <si>
    <t>848798012672</t>
  </si>
  <si>
    <t>848798012689</t>
  </si>
  <si>
    <t>848798012696</t>
  </si>
  <si>
    <t>848798001393</t>
  </si>
  <si>
    <t>848798001409</t>
  </si>
  <si>
    <t>848798001416</t>
  </si>
  <si>
    <t>848798012702</t>
  </si>
  <si>
    <t>848798012719</t>
  </si>
  <si>
    <t>848798012726</t>
  </si>
  <si>
    <t>848798014317</t>
  </si>
  <si>
    <t>848798014324</t>
  </si>
  <si>
    <t>848798014331</t>
  </si>
  <si>
    <t>848798014348</t>
  </si>
  <si>
    <t>848798014355</t>
  </si>
  <si>
    <t>848798014362</t>
  </si>
  <si>
    <t>848798014379</t>
  </si>
  <si>
    <t>848798014386</t>
  </si>
  <si>
    <t>848798014393</t>
  </si>
  <si>
    <t>848798014409</t>
  </si>
  <si>
    <t>848798012733</t>
  </si>
  <si>
    <t>848798012740</t>
  </si>
  <si>
    <t>848798012757</t>
  </si>
  <si>
    <t>848798012764</t>
  </si>
  <si>
    <t>848798014492</t>
  </si>
  <si>
    <t>848798014508</t>
  </si>
  <si>
    <t>848798014553</t>
  </si>
  <si>
    <t>848798014560</t>
  </si>
  <si>
    <t>848798014577</t>
  </si>
  <si>
    <t>848798014584</t>
  </si>
  <si>
    <t>848798014591</t>
  </si>
  <si>
    <t>848798014607</t>
  </si>
  <si>
    <t>848798014614</t>
  </si>
  <si>
    <t>848798014621</t>
  </si>
  <si>
    <t>848798014638</t>
  </si>
  <si>
    <t>848798014645</t>
  </si>
  <si>
    <t>848798014652</t>
  </si>
  <si>
    <t>848798014669</t>
  </si>
  <si>
    <t>848798014676</t>
  </si>
  <si>
    <t>848798014683</t>
  </si>
  <si>
    <t>848798014690</t>
  </si>
  <si>
    <t>848798014706</t>
  </si>
  <si>
    <t>848798014713</t>
  </si>
  <si>
    <t>848798014720</t>
  </si>
  <si>
    <t>848798014737</t>
  </si>
  <si>
    <t>848798014744</t>
  </si>
  <si>
    <t>848798014751</t>
  </si>
  <si>
    <t>848798014768</t>
  </si>
  <si>
    <t>848798014775</t>
  </si>
  <si>
    <t>848798014782</t>
  </si>
  <si>
    <t>848798014799</t>
  </si>
  <si>
    <t>848798014805</t>
  </si>
  <si>
    <t>848798014812</t>
  </si>
  <si>
    <t>848798014829</t>
  </si>
  <si>
    <t>848798014836</t>
  </si>
  <si>
    <t>848798014843</t>
  </si>
  <si>
    <t>848798014850</t>
  </si>
  <si>
    <t>848798014867</t>
  </si>
  <si>
    <t>848798014874</t>
  </si>
  <si>
    <t>848798014881</t>
  </si>
  <si>
    <t>848798014898</t>
  </si>
  <si>
    <t>848798014904</t>
  </si>
  <si>
    <t>848798014911</t>
  </si>
  <si>
    <t>848798014928</t>
  </si>
  <si>
    <t>848798014935</t>
  </si>
  <si>
    <t>848798014942</t>
  </si>
  <si>
    <t>848798014959</t>
  </si>
  <si>
    <t>848798014966</t>
  </si>
  <si>
    <t>848798014973</t>
  </si>
  <si>
    <t>848798014980</t>
  </si>
  <si>
    <t>848798014997</t>
  </si>
  <si>
    <t>848798015000</t>
  </si>
  <si>
    <t>848798015017</t>
  </si>
  <si>
    <t>848798015024</t>
  </si>
  <si>
    <t>848798015031</t>
  </si>
  <si>
    <t>848798015048</t>
  </si>
  <si>
    <t>848798015055</t>
  </si>
  <si>
    <t>848798015062</t>
  </si>
  <si>
    <t>848798015079</t>
  </si>
  <si>
    <t>848798015086</t>
  </si>
  <si>
    <t>848798015093</t>
  </si>
  <si>
    <t>848798015109</t>
  </si>
  <si>
    <t>848798015116</t>
  </si>
  <si>
    <t>848798015123</t>
  </si>
  <si>
    <t>848798015130</t>
  </si>
  <si>
    <t>848798015147</t>
  </si>
  <si>
    <t>848798015154</t>
  </si>
  <si>
    <t>848798015161</t>
  </si>
  <si>
    <t>848798015178</t>
  </si>
  <si>
    <t>848798015185</t>
  </si>
  <si>
    <t>848798015192</t>
  </si>
  <si>
    <t>848798015208</t>
  </si>
  <si>
    <t>848798015215</t>
  </si>
  <si>
    <t>848798015222</t>
  </si>
  <si>
    <t>848798015239</t>
  </si>
  <si>
    <t>848798015246</t>
  </si>
  <si>
    <t>848798015253</t>
  </si>
  <si>
    <t>848798015260</t>
  </si>
  <si>
    <t>848798015277</t>
  </si>
  <si>
    <t>848798015284</t>
  </si>
  <si>
    <t>848798015291</t>
  </si>
  <si>
    <t>848798015307</t>
  </si>
  <si>
    <t>848798015314</t>
  </si>
  <si>
    <t>848798015321</t>
  </si>
  <si>
    <t>848798015338</t>
  </si>
  <si>
    <t>848798015345</t>
  </si>
  <si>
    <t>848798015352</t>
  </si>
  <si>
    <t>848798015369</t>
  </si>
  <si>
    <t>848798015376</t>
  </si>
  <si>
    <t>848798015383</t>
  </si>
  <si>
    <t>848798015390</t>
  </si>
  <si>
    <t>848798015406</t>
  </si>
  <si>
    <t>848798015413</t>
  </si>
  <si>
    <t>8544.42.90.90</t>
  </si>
  <si>
    <t>848798015420</t>
  </si>
  <si>
    <t>848798015437</t>
  </si>
  <si>
    <t>848798015444</t>
  </si>
  <si>
    <t>848798015451</t>
  </si>
  <si>
    <t>848798015468</t>
  </si>
  <si>
    <t>848798015475</t>
  </si>
  <si>
    <t>848798015482</t>
  </si>
  <si>
    <t>848798015499</t>
  </si>
  <si>
    <t>848798015505</t>
  </si>
  <si>
    <t>848798015512</t>
  </si>
  <si>
    <t>848798015529</t>
  </si>
  <si>
    <t>848798015536</t>
  </si>
  <si>
    <t>848798015543</t>
  </si>
  <si>
    <t>848798015550</t>
  </si>
  <si>
    <t>848798015567</t>
  </si>
  <si>
    <t>848798015574</t>
  </si>
  <si>
    <t>848798015581</t>
  </si>
  <si>
    <t>848798015598</t>
  </si>
  <si>
    <t>848798015604</t>
  </si>
  <si>
    <t>848798015611</t>
  </si>
  <si>
    <t>848798015628</t>
  </si>
  <si>
    <t>848798015635</t>
  </si>
  <si>
    <t>848798015642</t>
  </si>
  <si>
    <t>848798015659</t>
  </si>
  <si>
    <t>848798015666</t>
  </si>
  <si>
    <t>848798015680</t>
  </si>
  <si>
    <t>EFM 16CH NODE-TO-SENSOR EXTENSION CABLE, 6 PIN -  6 FT. (Tinned Copper)</t>
  </si>
  <si>
    <t>848798015697</t>
  </si>
  <si>
    <t>EFM 16CH NODE-TO-SENSOR EXTENSION CABLE, 6 PIN -  12 FT. (Tinned Copper)</t>
  </si>
  <si>
    <t>848798015703</t>
  </si>
  <si>
    <t>20615-24</t>
  </si>
  <si>
    <t>EFM 16CH NODE-TO-SENSOR EXTENSION CABLE, 6 PIN -  24 FT. (Tinned Copper)</t>
  </si>
  <si>
    <t>EFM NODE-TO-NODE EXTENSION CABLE, 8 PIN -  12 FT.  (Tinned Copper)</t>
  </si>
  <si>
    <t>848798015710</t>
  </si>
  <si>
    <t>EFM NODE-TO-NODE EXTENSION CABLE, 8 PIN -  24 FT.  (Tinned Copper)</t>
  </si>
  <si>
    <t>848798015727</t>
  </si>
  <si>
    <t>848798015734</t>
  </si>
  <si>
    <t>848798015741</t>
  </si>
  <si>
    <t>848798015758</t>
  </si>
  <si>
    <t>848798015765</t>
  </si>
  <si>
    <t>848798015772</t>
  </si>
  <si>
    <t>848798015789</t>
  </si>
  <si>
    <t>848798015796</t>
  </si>
  <si>
    <t>848798015802</t>
  </si>
  <si>
    <t>848798015819</t>
  </si>
  <si>
    <t>848798015826</t>
  </si>
  <si>
    <t>848798015833</t>
  </si>
  <si>
    <t>848798015840</t>
  </si>
  <si>
    <t>848798015857</t>
  </si>
  <si>
    <t>848798015864</t>
  </si>
  <si>
    <t>848798015871</t>
  </si>
  <si>
    <t>848798015888</t>
  </si>
  <si>
    <t>848798015895</t>
  </si>
  <si>
    <t>848798015901</t>
  </si>
  <si>
    <t>848798015918</t>
  </si>
  <si>
    <t>848798015925</t>
  </si>
  <si>
    <t>848798015932</t>
  </si>
  <si>
    <t>848798015949</t>
  </si>
  <si>
    <t>848798015956</t>
  </si>
  <si>
    <t>848798001423</t>
  </si>
  <si>
    <t>848798001430</t>
  </si>
  <si>
    <t>848798001447</t>
  </si>
  <si>
    <t>848798015963</t>
  </si>
  <si>
    <t>848798015970</t>
  </si>
  <si>
    <t>848798015987</t>
  </si>
  <si>
    <t>848798015994</t>
  </si>
  <si>
    <t>848798016007</t>
  </si>
  <si>
    <t>848798016014</t>
  </si>
  <si>
    <t>848798016021</t>
  </si>
  <si>
    <t>848798016038</t>
  </si>
  <si>
    <t>848798016045</t>
  </si>
  <si>
    <t>848798016052</t>
  </si>
  <si>
    <t>848798016069</t>
  </si>
  <si>
    <t>848798016076</t>
  </si>
  <si>
    <t>848798016083</t>
  </si>
  <si>
    <t>848798016090</t>
  </si>
  <si>
    <t>848798016106</t>
  </si>
  <si>
    <t>848798001454</t>
  </si>
  <si>
    <t>848798001461</t>
  </si>
  <si>
    <t>848798001478</t>
  </si>
  <si>
    <t>848798016113</t>
  </si>
  <si>
    <t>848798016120</t>
  </si>
  <si>
    <t>848798016137</t>
  </si>
  <si>
    <t>848798016144</t>
  </si>
  <si>
    <t>848798016151</t>
  </si>
  <si>
    <t>848798016168</t>
  </si>
  <si>
    <t>848798016175</t>
  </si>
  <si>
    <t>848798016182</t>
  </si>
  <si>
    <t>848798016199</t>
  </si>
  <si>
    <t>848798016205</t>
  </si>
  <si>
    <t>848798016212</t>
  </si>
  <si>
    <t>848798016229</t>
  </si>
  <si>
    <t>848798016236</t>
  </si>
  <si>
    <t>848798016243</t>
  </si>
  <si>
    <t>848798016250</t>
  </si>
  <si>
    <t>848798016267</t>
  </si>
  <si>
    <t>848798016274</t>
  </si>
  <si>
    <t>848798016281</t>
  </si>
  <si>
    <t>848798016298</t>
  </si>
  <si>
    <t>848798016304</t>
  </si>
  <si>
    <t>848798016311</t>
  </si>
  <si>
    <t>848798001485</t>
  </si>
  <si>
    <t>848798001492</t>
  </si>
  <si>
    <t>848798001508</t>
  </si>
  <si>
    <t>848798016328</t>
  </si>
  <si>
    <t>848798016335</t>
  </si>
  <si>
    <t>848798016342</t>
  </si>
  <si>
    <t>848798001515</t>
  </si>
  <si>
    <t>848798001522</t>
  </si>
  <si>
    <t>848798001539</t>
  </si>
  <si>
    <t>848798016359</t>
  </si>
  <si>
    <t>848798016366</t>
  </si>
  <si>
    <t>848798016373</t>
  </si>
  <si>
    <t>848798016380</t>
  </si>
  <si>
    <t>848798016397</t>
  </si>
  <si>
    <t>848798016403</t>
  </si>
  <si>
    <t>848798016410</t>
  </si>
  <si>
    <t>848798016427</t>
  </si>
  <si>
    <t>848798016434</t>
  </si>
  <si>
    <t>848798001546</t>
  </si>
  <si>
    <t>848798001553</t>
  </si>
  <si>
    <t>848798001560</t>
  </si>
  <si>
    <t>848798016441</t>
  </si>
  <si>
    <t>848798016458</t>
  </si>
  <si>
    <t>848798016465</t>
  </si>
  <si>
    <t>848798016472</t>
  </si>
  <si>
    <t>848798016489</t>
  </si>
  <si>
    <t>848798016496</t>
  </si>
  <si>
    <t>848798016502</t>
  </si>
  <si>
    <t>848798016519</t>
  </si>
  <si>
    <t>848798016526</t>
  </si>
  <si>
    <t>848798016533</t>
  </si>
  <si>
    <t>848798016540</t>
  </si>
  <si>
    <t>848798016557</t>
  </si>
  <si>
    <t>848798016564</t>
  </si>
  <si>
    <t>848798016571</t>
  </si>
  <si>
    <t>848798016588</t>
  </si>
  <si>
    <t>848798016595</t>
  </si>
  <si>
    <t>848798016601</t>
  </si>
  <si>
    <t>848798016618</t>
  </si>
  <si>
    <t>848798016625</t>
  </si>
  <si>
    <t>848798016632</t>
  </si>
  <si>
    <t>848798016649</t>
  </si>
  <si>
    <t>848798016656</t>
  </si>
  <si>
    <t>848798016663</t>
  </si>
  <si>
    <t>848798016670</t>
  </si>
  <si>
    <t>848798001577</t>
  </si>
  <si>
    <t>848798001584</t>
  </si>
  <si>
    <t>848798016687</t>
  </si>
  <si>
    <t>848798016694</t>
  </si>
  <si>
    <t>848798016700</t>
  </si>
  <si>
    <t>848798016717</t>
  </si>
  <si>
    <t>848798016724</t>
  </si>
  <si>
    <t>848798016731</t>
  </si>
  <si>
    <t>848798016748</t>
  </si>
  <si>
    <t>848798016755</t>
  </si>
  <si>
    <t>848798016762</t>
  </si>
  <si>
    <t>848798016779</t>
  </si>
  <si>
    <t>848798016786</t>
  </si>
  <si>
    <t>848798016793</t>
  </si>
  <si>
    <t>848798016809</t>
  </si>
  <si>
    <t>848798016816</t>
  </si>
  <si>
    <t>848798016823</t>
  </si>
  <si>
    <t>848798016830</t>
  </si>
  <si>
    <t>848798016847</t>
  </si>
  <si>
    <t>848798016854</t>
  </si>
  <si>
    <t>848798016861</t>
  </si>
  <si>
    <t>848798016878</t>
  </si>
  <si>
    <t>848798016885</t>
  </si>
  <si>
    <t>848798016892</t>
  </si>
  <si>
    <t>848798016908</t>
  </si>
  <si>
    <t>848798016915</t>
  </si>
  <si>
    <t>848798016922</t>
  </si>
  <si>
    <t>848798016939</t>
  </si>
  <si>
    <t>848798016946</t>
  </si>
  <si>
    <t>848798016953</t>
  </si>
  <si>
    <t>848798016960</t>
  </si>
  <si>
    <t>848798016977</t>
  </si>
  <si>
    <t>848798016984</t>
  </si>
  <si>
    <t>848798016991</t>
  </si>
  <si>
    <t>848798017004</t>
  </si>
  <si>
    <t>848798017011</t>
  </si>
  <si>
    <t>848798001607</t>
  </si>
  <si>
    <t>848798001621</t>
  </si>
  <si>
    <t>848798017028</t>
  </si>
  <si>
    <t>848798001638</t>
  </si>
  <si>
    <t>848798001652</t>
  </si>
  <si>
    <t>848798017035</t>
  </si>
  <si>
    <t>848798017042</t>
  </si>
  <si>
    <t>848798017059</t>
  </si>
  <si>
    <t>848798017066</t>
  </si>
  <si>
    <t>848798017073</t>
  </si>
  <si>
    <t>848798001669</t>
  </si>
  <si>
    <t>848798001676</t>
  </si>
  <si>
    <t>848798001683</t>
  </si>
  <si>
    <t>848798001690</t>
  </si>
  <si>
    <t>848798001706</t>
  </si>
  <si>
    <t>848798001713</t>
  </si>
  <si>
    <t>848798001720</t>
  </si>
  <si>
    <t>848798001737</t>
  </si>
  <si>
    <t>848798017080</t>
  </si>
  <si>
    <t>848798017264</t>
  </si>
  <si>
    <t>848798017271</t>
  </si>
  <si>
    <t>848798017288</t>
  </si>
  <si>
    <t>848798017295</t>
  </si>
  <si>
    <t>848798017318</t>
  </si>
  <si>
    <t>848798017332</t>
  </si>
  <si>
    <t>848798017356</t>
  </si>
  <si>
    <t>848798017370</t>
  </si>
  <si>
    <t>848798017394</t>
  </si>
  <si>
    <t>848798017417</t>
  </si>
  <si>
    <t>848798017431</t>
  </si>
  <si>
    <t>848798017448</t>
  </si>
  <si>
    <t>848798017455</t>
  </si>
  <si>
    <t>848798017462</t>
  </si>
  <si>
    <t>848798017479</t>
  </si>
  <si>
    <t>848798017486</t>
  </si>
  <si>
    <t>848798017493</t>
  </si>
  <si>
    <t>848798017509</t>
  </si>
  <si>
    <t>848798017516</t>
  </si>
  <si>
    <t>848798012771</t>
  </si>
  <si>
    <t>O-RING, FKM  #219</t>
  </si>
  <si>
    <t>848798012788</t>
  </si>
  <si>
    <t>848798012795</t>
  </si>
  <si>
    <t>848798017530</t>
  </si>
  <si>
    <t>O-RING, VITON®   #219</t>
  </si>
  <si>
    <t>848798017547</t>
  </si>
  <si>
    <t>848798017554</t>
  </si>
  <si>
    <t>848798012801</t>
  </si>
  <si>
    <t>848798012818</t>
  </si>
  <si>
    <t>848798012825</t>
  </si>
  <si>
    <t>848798012832</t>
  </si>
  <si>
    <t>848798017608</t>
  </si>
  <si>
    <t>848798012849</t>
  </si>
  <si>
    <t>848798017622</t>
  </si>
  <si>
    <t>848798017646</t>
  </si>
  <si>
    <t>848798017653</t>
  </si>
  <si>
    <t>848798012856</t>
  </si>
  <si>
    <t>848798017660</t>
  </si>
  <si>
    <t>848798017677</t>
  </si>
  <si>
    <t>848798017684</t>
  </si>
  <si>
    <t>848798017691</t>
  </si>
  <si>
    <r>
      <t>QN SWEEP TEE - 1 1/4" JOINT ADAPTER x 1" SST</t>
    </r>
    <r>
      <rPr>
        <b/>
        <sz val="10"/>
        <color theme="1"/>
        <rFont val="Arial"/>
        <family val="2"/>
      </rPr>
      <t xml:space="preserve"> </t>
    </r>
    <r>
      <rPr>
        <sz val="10"/>
        <color theme="1"/>
        <rFont val="Arial"/>
        <family val="2"/>
      </rPr>
      <t>x 1" SST</t>
    </r>
  </si>
  <si>
    <t>848798017707</t>
  </si>
  <si>
    <t>848798017752</t>
  </si>
  <si>
    <t>848798017769</t>
  </si>
  <si>
    <t>848798017776</t>
  </si>
  <si>
    <t>848798017783</t>
  </si>
  <si>
    <t>848798017790</t>
  </si>
  <si>
    <t>848798017806</t>
  </si>
  <si>
    <t>848798017813</t>
  </si>
  <si>
    <t>848798017820</t>
  </si>
  <si>
    <t>848798017837</t>
  </si>
  <si>
    <t>848798017844</t>
  </si>
  <si>
    <t>848798017851</t>
  </si>
  <si>
    <t>848798017868</t>
  </si>
  <si>
    <t>848798017882</t>
  </si>
  <si>
    <t>848798017899</t>
  </si>
  <si>
    <t>848798017905</t>
  </si>
  <si>
    <t>848798017912</t>
  </si>
  <si>
    <t>848798017929</t>
  </si>
  <si>
    <t>848798017936</t>
  </si>
  <si>
    <t>848798017943</t>
  </si>
  <si>
    <t>848798017950</t>
  </si>
  <si>
    <t>848798017967</t>
  </si>
  <si>
    <t>848798017974</t>
  </si>
  <si>
    <t>848798017981</t>
  </si>
  <si>
    <t>848798017998</t>
  </si>
  <si>
    <t>848798018001</t>
  </si>
  <si>
    <t>848798018018</t>
  </si>
  <si>
    <t>848798018025</t>
  </si>
  <si>
    <t>848798018032</t>
  </si>
  <si>
    <t>848798018049</t>
  </si>
  <si>
    <t>848798018056</t>
  </si>
  <si>
    <t>848798018063</t>
  </si>
  <si>
    <t>848798018070</t>
  </si>
  <si>
    <t>848798018087</t>
  </si>
  <si>
    <t>848798018094</t>
  </si>
  <si>
    <t>848798018100</t>
  </si>
  <si>
    <t>848798018117</t>
  </si>
  <si>
    <t>848798018124</t>
  </si>
  <si>
    <t>848798018131</t>
  </si>
  <si>
    <t>848798018148</t>
  </si>
  <si>
    <t>848798018155</t>
  </si>
  <si>
    <t>848798018179</t>
  </si>
  <si>
    <t>848798018186</t>
  </si>
  <si>
    <t>848798018193</t>
  </si>
  <si>
    <t>848798018209</t>
  </si>
  <si>
    <t>848798018216</t>
  </si>
  <si>
    <t>848798018223</t>
  </si>
  <si>
    <t>848798018230</t>
  </si>
  <si>
    <t>848798018247</t>
  </si>
  <si>
    <t>848798018254</t>
  </si>
  <si>
    <t>848798018261</t>
  </si>
  <si>
    <t>27356-V0</t>
  </si>
  <si>
    <t>QF100 x SST Adapter with BEFV</t>
  </si>
  <si>
    <t>27356-LV0</t>
  </si>
  <si>
    <t>QF100 x SST Adapter with BEFV, with long Handle</t>
  </si>
  <si>
    <t>27357-00</t>
  </si>
  <si>
    <t>QF100 x 1/2" NPTF</t>
  </si>
  <si>
    <t>Saleable, New for 2022-23</t>
  </si>
  <si>
    <t>27358-00</t>
  </si>
  <si>
    <t>QF100 x 3/4" NPTF</t>
  </si>
  <si>
    <t>27359-00</t>
  </si>
  <si>
    <t>QF100 x 1" NPTF</t>
  </si>
  <si>
    <t>848798018278</t>
  </si>
  <si>
    <t>848798018285</t>
  </si>
  <si>
    <t>848798018292</t>
  </si>
  <si>
    <t>848798018308</t>
  </si>
  <si>
    <t>848798018315</t>
  </si>
  <si>
    <t>848798018322</t>
  </si>
  <si>
    <t>848798018339</t>
  </si>
  <si>
    <t>848798018346</t>
  </si>
  <si>
    <t>848798018353</t>
  </si>
  <si>
    <t>QF100 CUT PIPE ADAPTER ASSY, 2-HOLE</t>
  </si>
  <si>
    <t>848798018360</t>
  </si>
  <si>
    <t>848798018377</t>
  </si>
  <si>
    <t>848798018384</t>
  </si>
  <si>
    <t>848798018391</t>
  </si>
  <si>
    <t>SCREW (THINK THIS WILL BE ABLE TO BE THE 41331-03 #10 HI-LO X 5/8")</t>
  </si>
  <si>
    <t>848798018407</t>
  </si>
  <si>
    <t>O-RING (THINK THIS WILL BE 41210-03, #218 O-RING)</t>
  </si>
  <si>
    <t>848798018414</t>
  </si>
  <si>
    <t>QF100 THROUGH PIPE ADAPTER ASSY, 2-HOLE</t>
  </si>
  <si>
    <t>848798018421</t>
  </si>
  <si>
    <t>848798018438</t>
  </si>
  <si>
    <t>848798018445</t>
  </si>
  <si>
    <t>27383-00</t>
  </si>
  <si>
    <t>QF100 CUT PIPE ADAPTER ASSY, 1-HOLE</t>
  </si>
  <si>
    <t>27383-01</t>
  </si>
  <si>
    <t>CUT PIPE ADAPTER, UPPER HALF, NO HOLE</t>
  </si>
  <si>
    <t>27384-00</t>
  </si>
  <si>
    <t>QF100 THROUGH PIPE ADAPTER ASSY, 1-HOLE</t>
  </si>
  <si>
    <t>848798001751</t>
  </si>
  <si>
    <t>848798001768</t>
  </si>
  <si>
    <t>848798012863</t>
  </si>
  <si>
    <t>848798012870</t>
  </si>
  <si>
    <t>848798012887</t>
  </si>
  <si>
    <t>848798012894</t>
  </si>
  <si>
    <t>848798012900</t>
  </si>
  <si>
    <t>848798012917</t>
  </si>
  <si>
    <t>848798012924</t>
  </si>
  <si>
    <t>848798012931</t>
  </si>
  <si>
    <t>848798012948</t>
  </si>
  <si>
    <t>848798012955</t>
  </si>
  <si>
    <t>848798012962</t>
  </si>
  <si>
    <t>848798001775</t>
  </si>
  <si>
    <t>848798001799</t>
  </si>
  <si>
    <t>848798001812</t>
  </si>
  <si>
    <t>848798001836</t>
  </si>
  <si>
    <t>848798001850</t>
  </si>
  <si>
    <t>848798001874</t>
  </si>
  <si>
    <t>848798001898</t>
  </si>
  <si>
    <t>848798001911</t>
  </si>
  <si>
    <t>848798001935</t>
  </si>
  <si>
    <t>848798001959</t>
  </si>
  <si>
    <t>848798001973</t>
  </si>
  <si>
    <t>848798001980</t>
  </si>
  <si>
    <t>848798002000</t>
  </si>
  <si>
    <t>848798002017</t>
  </si>
  <si>
    <t>848798002024</t>
  </si>
  <si>
    <t>848798002031</t>
  </si>
  <si>
    <t>848798002048</t>
  </si>
  <si>
    <t>848798002055</t>
  </si>
  <si>
    <t>848798002062</t>
  </si>
  <si>
    <t>848798002079</t>
  </si>
  <si>
    <t>848798002086</t>
  </si>
  <si>
    <t>7318.15.60.70</t>
  </si>
  <si>
    <t>848798002093</t>
  </si>
  <si>
    <t>848798002109</t>
  </si>
  <si>
    <t>848798002116</t>
  </si>
  <si>
    <t>848798002123</t>
  </si>
  <si>
    <t>848798002147</t>
  </si>
  <si>
    <t>848798002154</t>
  </si>
  <si>
    <t>848798002161</t>
  </si>
  <si>
    <t>848798002178</t>
  </si>
  <si>
    <t>848798002185</t>
  </si>
  <si>
    <t>848798002192</t>
  </si>
  <si>
    <t>848798002208</t>
  </si>
  <si>
    <t>848798002215</t>
  </si>
  <si>
    <t>848798010685</t>
  </si>
  <si>
    <t>848798010692</t>
  </si>
  <si>
    <t>848798018452</t>
  </si>
  <si>
    <t>848798018469</t>
  </si>
  <si>
    <t>848798002239</t>
  </si>
  <si>
    <t>848798002246</t>
  </si>
  <si>
    <t>40156-P15</t>
  </si>
  <si>
    <t>SINGLE NOZZLE ASSY.- 1" WET BOOM, SS, 15PSI DIA</t>
  </si>
  <si>
    <t>848798002260</t>
  </si>
  <si>
    <t>848798002277</t>
  </si>
  <si>
    <t>848798002284</t>
  </si>
  <si>
    <t>848798002314</t>
  </si>
  <si>
    <t>848798002321</t>
  </si>
  <si>
    <t>848798002338</t>
  </si>
  <si>
    <t>848798002345</t>
  </si>
  <si>
    <t>848798002352</t>
  </si>
  <si>
    <t>848798002369</t>
  </si>
  <si>
    <t>848798018476</t>
  </si>
  <si>
    <t>848798018483</t>
  </si>
  <si>
    <t>848798002376</t>
  </si>
  <si>
    <t>848798002383</t>
  </si>
  <si>
    <t>848798002390</t>
  </si>
  <si>
    <t>848798002406</t>
  </si>
  <si>
    <t>848798002413</t>
  </si>
  <si>
    <t>848798002420</t>
  </si>
  <si>
    <t>848798002437</t>
  </si>
  <si>
    <t>848798002444</t>
  </si>
  <si>
    <t>848798002451</t>
  </si>
  <si>
    <t>848798002468</t>
  </si>
  <si>
    <t>848798002475</t>
  </si>
  <si>
    <t>848798002482</t>
  </si>
  <si>
    <t>848798018490</t>
  </si>
  <si>
    <t>848798018506</t>
  </si>
  <si>
    <t>848798002505</t>
  </si>
  <si>
    <t>848798002512</t>
  </si>
  <si>
    <t>848798002529</t>
  </si>
  <si>
    <t>848798002543</t>
  </si>
  <si>
    <t>848798002550</t>
  </si>
  <si>
    <t>848798002567</t>
  </si>
  <si>
    <t>848798002574</t>
  </si>
  <si>
    <t>848798002581</t>
  </si>
  <si>
    <t>848798002598</t>
  </si>
  <si>
    <t>848798002604</t>
  </si>
  <si>
    <t>848798002611</t>
  </si>
  <si>
    <t>848798002628</t>
  </si>
  <si>
    <t>848798002635</t>
  </si>
  <si>
    <t>848798002642</t>
  </si>
  <si>
    <t>848798002659</t>
  </si>
  <si>
    <t>848798002666</t>
  </si>
  <si>
    <t>848798002673</t>
  </si>
  <si>
    <t>848798002680</t>
  </si>
  <si>
    <t>848798002697</t>
  </si>
  <si>
    <t>848798002703</t>
  </si>
  <si>
    <t>848798002710</t>
  </si>
  <si>
    <t>848798002727</t>
  </si>
  <si>
    <t>848798002734</t>
  </si>
  <si>
    <t>848798003069</t>
  </si>
  <si>
    <t>848798003076</t>
  </si>
  <si>
    <t>848798003083</t>
  </si>
  <si>
    <t>848798003090</t>
  </si>
  <si>
    <t>848798003106</t>
  </si>
  <si>
    <t>848798003113</t>
  </si>
  <si>
    <t>848798018636</t>
  </si>
  <si>
    <t>848798003175</t>
  </si>
  <si>
    <t>848798003182</t>
  </si>
  <si>
    <t>848798003199</t>
  </si>
  <si>
    <t>848798003205</t>
  </si>
  <si>
    <t>848798003212</t>
  </si>
  <si>
    <t>848798003229</t>
  </si>
  <si>
    <t>848798003236</t>
  </si>
  <si>
    <t>848798018643</t>
  </si>
  <si>
    <t>848798018650</t>
  </si>
  <si>
    <t>848798018667</t>
  </si>
  <si>
    <t>848798018674</t>
  </si>
  <si>
    <t>848798018681</t>
  </si>
  <si>
    <t>848798018698</t>
  </si>
  <si>
    <t>848798018704</t>
  </si>
  <si>
    <t>848798018711</t>
  </si>
  <si>
    <t>848798018728</t>
  </si>
  <si>
    <t>848798018735</t>
  </si>
  <si>
    <t>848798018742</t>
  </si>
  <si>
    <t>848798018759</t>
  </si>
  <si>
    <t>848798018766</t>
  </si>
  <si>
    <t>848798018773</t>
  </si>
  <si>
    <t>848798018780</t>
  </si>
  <si>
    <t>848798018797</t>
  </si>
  <si>
    <t>848798018803</t>
  </si>
  <si>
    <t>848798018810</t>
  </si>
  <si>
    <t>848798018827</t>
  </si>
  <si>
    <t>848798018834</t>
  </si>
  <si>
    <t>848798018841</t>
  </si>
  <si>
    <t>848798018858</t>
  </si>
  <si>
    <t>848798003250</t>
  </si>
  <si>
    <t>848798003267</t>
  </si>
  <si>
    <t>848798003274</t>
  </si>
  <si>
    <t>848798003281</t>
  </si>
  <si>
    <t>848798003298</t>
  </si>
  <si>
    <t>848798018865</t>
  </si>
  <si>
    <t>848798018872</t>
  </si>
  <si>
    <t>848798003304</t>
  </si>
  <si>
    <t>848798003311</t>
  </si>
  <si>
    <t>848798003328</t>
  </si>
  <si>
    <t>848798003335</t>
  </si>
  <si>
    <t>848798018889</t>
  </si>
  <si>
    <t>848798018896</t>
  </si>
  <si>
    <t>848798018902</t>
  </si>
  <si>
    <t>848798018919</t>
  </si>
  <si>
    <t>848798018926</t>
  </si>
  <si>
    <t>848798018933</t>
  </si>
  <si>
    <t>848798018940</t>
  </si>
  <si>
    <t>848798018957</t>
  </si>
  <si>
    <t>848798018964</t>
  </si>
  <si>
    <t>848798018971</t>
  </si>
  <si>
    <t>848798018988</t>
  </si>
  <si>
    <t>848798018995</t>
  </si>
  <si>
    <t>848798019008</t>
  </si>
  <si>
    <t>848798003342</t>
  </si>
  <si>
    <t>848798003359</t>
  </si>
  <si>
    <t>848798003366</t>
  </si>
  <si>
    <t>848798003373</t>
  </si>
  <si>
    <t>848798003380</t>
  </si>
  <si>
    <t>848798003397</t>
  </si>
  <si>
    <t>848798019015</t>
  </si>
  <si>
    <t>848798019022</t>
  </si>
  <si>
    <t>848798019039</t>
  </si>
  <si>
    <t>848798019046</t>
  </si>
  <si>
    <t>40213-00</t>
  </si>
  <si>
    <t xml:space="preserve">ADAPER ASSY. - AGRIFAC TO TWIN CJ </t>
  </si>
  <si>
    <t>40213-01</t>
  </si>
  <si>
    <t>ADAPTER BODY - AGRIFAC TO TWIN CJ</t>
  </si>
  <si>
    <t>848798019053</t>
  </si>
  <si>
    <t>848798019060</t>
  </si>
  <si>
    <t>848798019077</t>
  </si>
  <si>
    <t>848798019084</t>
  </si>
  <si>
    <t>848798019091</t>
  </si>
  <si>
    <t>848798019107</t>
  </si>
  <si>
    <t>848798003403</t>
  </si>
  <si>
    <t>848798003410</t>
  </si>
  <si>
    <t>848798003427</t>
  </si>
  <si>
    <t>848798003434</t>
  </si>
  <si>
    <t>848798003441</t>
  </si>
  <si>
    <t>848798003458</t>
  </si>
  <si>
    <t>848798019114</t>
  </si>
  <si>
    <t>848798019121</t>
  </si>
  <si>
    <t>848798003465</t>
  </si>
  <si>
    <t>848798003472</t>
  </si>
  <si>
    <t>848798003489</t>
  </si>
  <si>
    <t>848798003496</t>
  </si>
  <si>
    <t>848798003502</t>
  </si>
  <si>
    <t>848798003519</t>
  </si>
  <si>
    <t>848798003526</t>
  </si>
  <si>
    <t>848798003533</t>
  </si>
  <si>
    <t>848798003540</t>
  </si>
  <si>
    <t>848798003557</t>
  </si>
  <si>
    <t>848798003564</t>
  </si>
  <si>
    <t>848798003571</t>
  </si>
  <si>
    <t>848798003588</t>
  </si>
  <si>
    <t>848798003595</t>
  </si>
  <si>
    <t>848798003601</t>
  </si>
  <si>
    <t>848798003618</t>
  </si>
  <si>
    <t>848798003625</t>
  </si>
  <si>
    <t>848798003632</t>
  </si>
  <si>
    <t>848798003649</t>
  </si>
  <si>
    <t>848798003656</t>
  </si>
  <si>
    <t>848798003663</t>
  </si>
  <si>
    <t>848798003670</t>
  </si>
  <si>
    <t>848798003687</t>
  </si>
  <si>
    <t>848798003694</t>
  </si>
  <si>
    <t>848798003700</t>
  </si>
  <si>
    <t>848798003717</t>
  </si>
  <si>
    <t>848798003724</t>
  </si>
  <si>
    <t>848798003731</t>
  </si>
  <si>
    <t>848798003748</t>
  </si>
  <si>
    <t>848798003755</t>
  </si>
  <si>
    <t>848798003762</t>
  </si>
  <si>
    <t>848798003779</t>
  </si>
  <si>
    <t>848798003786</t>
  </si>
  <si>
    <t>848798003793</t>
  </si>
  <si>
    <t>848798003809</t>
  </si>
  <si>
    <t>848798003823</t>
  </si>
  <si>
    <t>848798003847</t>
  </si>
  <si>
    <t>848798012979</t>
  </si>
  <si>
    <t>848798003861</t>
  </si>
  <si>
    <t>848798003885</t>
  </si>
  <si>
    <t>848798003908</t>
  </si>
  <si>
    <t>848798012986</t>
  </si>
  <si>
    <t>848798003922</t>
  </si>
  <si>
    <t>848798003939</t>
  </si>
  <si>
    <t>848798003953</t>
  </si>
  <si>
    <t>848798003960</t>
  </si>
  <si>
    <t>848798003984</t>
  </si>
  <si>
    <t>848798003991</t>
  </si>
  <si>
    <t>848798004004</t>
  </si>
  <si>
    <t>848798004011</t>
  </si>
  <si>
    <t>848798013013</t>
  </si>
  <si>
    <t>848798013020</t>
  </si>
  <si>
    <t>848798013037</t>
  </si>
  <si>
    <t>848798013044</t>
  </si>
  <si>
    <t>848798013051</t>
  </si>
  <si>
    <t>848798013068</t>
  </si>
  <si>
    <t>848798004035</t>
  </si>
  <si>
    <t>848798004042</t>
  </si>
  <si>
    <t>848798004059</t>
  </si>
  <si>
    <t>848798004066</t>
  </si>
  <si>
    <t>848798004073</t>
  </si>
  <si>
    <t>848798004097</t>
  </si>
  <si>
    <t>848798013082</t>
  </si>
  <si>
    <t>848798013099</t>
  </si>
  <si>
    <t>848798013105</t>
  </si>
  <si>
    <t>848798004103</t>
  </si>
  <si>
    <t>848798004110</t>
  </si>
  <si>
    <t>848798004127</t>
  </si>
  <si>
    <t>848798004134</t>
  </si>
  <si>
    <t>848798004141</t>
  </si>
  <si>
    <t>848798004158</t>
  </si>
  <si>
    <t>848798004165</t>
  </si>
  <si>
    <t>848798004172</t>
  </si>
  <si>
    <t>848798004189</t>
  </si>
  <si>
    <t>848798004196</t>
  </si>
  <si>
    <t>848798004202</t>
  </si>
  <si>
    <t>848798004219</t>
  </si>
  <si>
    <t>848798004226</t>
  </si>
  <si>
    <t>848798004233</t>
  </si>
  <si>
    <t>848798004240</t>
  </si>
  <si>
    <t>848798004257</t>
  </si>
  <si>
    <t>848798004264</t>
  </si>
  <si>
    <t>848798004271</t>
  </si>
  <si>
    <t>848798004288</t>
  </si>
  <si>
    <t>848798004295</t>
  </si>
  <si>
    <t>848798004301</t>
  </si>
  <si>
    <t>848798004417</t>
  </si>
  <si>
    <t>848798004424</t>
  </si>
  <si>
    <t>848798004431</t>
  </si>
  <si>
    <t>848798004479</t>
  </si>
  <si>
    <t>848798004523</t>
  </si>
  <si>
    <t>848798004622</t>
  </si>
  <si>
    <t>848798004721</t>
  </si>
  <si>
    <t>848798004820</t>
  </si>
  <si>
    <t>848798005179</t>
  </si>
  <si>
    <t>848798005193</t>
  </si>
  <si>
    <t>848798005209</t>
  </si>
  <si>
    <t>848798005216</t>
  </si>
  <si>
    <t>848798005223</t>
  </si>
  <si>
    <t>848798005230</t>
  </si>
  <si>
    <t>848798005247</t>
  </si>
  <si>
    <t>848798005254</t>
  </si>
  <si>
    <t>848798005261</t>
  </si>
  <si>
    <t>848798005278</t>
  </si>
  <si>
    <t>848798005285</t>
  </si>
  <si>
    <t>848798005292</t>
  </si>
  <si>
    <t>848798005308</t>
  </si>
  <si>
    <t>848798005315</t>
  </si>
  <si>
    <t>848798005322</t>
  </si>
  <si>
    <t>848798019152</t>
  </si>
  <si>
    <t>848798019169</t>
  </si>
  <si>
    <t>848798005339</t>
  </si>
  <si>
    <t>848798005346</t>
  </si>
  <si>
    <t>848798005353</t>
  </si>
  <si>
    <t>848798005360</t>
  </si>
  <si>
    <t>848798005377</t>
  </si>
  <si>
    <t>848798019176</t>
  </si>
  <si>
    <t>848798019183</t>
  </si>
  <si>
    <t>848798005384</t>
  </si>
  <si>
    <t>848798005391</t>
  </si>
  <si>
    <t>848798005407</t>
  </si>
  <si>
    <t>848798005414</t>
  </si>
  <si>
    <t>848798005421</t>
  </si>
  <si>
    <t>848798019190</t>
  </si>
  <si>
    <t>848798019206</t>
  </si>
  <si>
    <t>848798005438</t>
  </si>
  <si>
    <t>848798005445</t>
  </si>
  <si>
    <t>848798005452</t>
  </si>
  <si>
    <t>848798005469</t>
  </si>
  <si>
    <t>848798005476</t>
  </si>
  <si>
    <t>848798005483</t>
  </si>
  <si>
    <t>848798005490</t>
  </si>
  <si>
    <t>848798005506</t>
  </si>
  <si>
    <t>848798005513</t>
  </si>
  <si>
    <t>848798005520</t>
  </si>
  <si>
    <t>848798005537</t>
  </si>
  <si>
    <t>848798005544</t>
  </si>
  <si>
    <t>848798005551</t>
  </si>
  <si>
    <t>848798005568</t>
  </si>
  <si>
    <t>848798005575</t>
  </si>
  <si>
    <t>848798019213</t>
  </si>
  <si>
    <t>848798019220</t>
  </si>
  <si>
    <t>848798005582</t>
  </si>
  <si>
    <t>848798005599</t>
  </si>
  <si>
    <t>848798005605</t>
  </si>
  <si>
    <t>848798005612</t>
  </si>
  <si>
    <t>848798005629</t>
  </si>
  <si>
    <t>848798005636</t>
  </si>
  <si>
    <t>848798005643</t>
  </si>
  <si>
    <t>848798005650</t>
  </si>
  <si>
    <t>848798005667</t>
  </si>
  <si>
    <t>848798005674</t>
  </si>
  <si>
    <t>848798005681</t>
  </si>
  <si>
    <t>848798005698</t>
  </si>
  <si>
    <t>848798005704</t>
  </si>
  <si>
    <t>848798005711</t>
  </si>
  <si>
    <t>848798005728</t>
  </si>
  <si>
    <t>848798005735</t>
  </si>
  <si>
    <t>848798005742</t>
  </si>
  <si>
    <t>848798005803</t>
  </si>
  <si>
    <t>848798005834</t>
  </si>
  <si>
    <t>848798005841</t>
  </si>
  <si>
    <t>848798005858</t>
  </si>
  <si>
    <t>848798005896</t>
  </si>
  <si>
    <t>848798006305</t>
  </si>
  <si>
    <t>848798006312</t>
  </si>
  <si>
    <t>848798006329</t>
  </si>
  <si>
    <t>848798006336</t>
  </si>
  <si>
    <t>848798006343</t>
  </si>
  <si>
    <t>848798006350</t>
  </si>
  <si>
    <t>848798006367</t>
  </si>
  <si>
    <t>848798006374</t>
  </si>
  <si>
    <t>848798006381</t>
  </si>
  <si>
    <t>848798006398</t>
  </si>
  <si>
    <t>848798012306</t>
  </si>
  <si>
    <t>848798012313</t>
  </si>
  <si>
    <t>848798012320</t>
  </si>
  <si>
    <t>848798012337</t>
  </si>
  <si>
    <t>848798012344</t>
  </si>
  <si>
    <t>848798006404</t>
  </si>
  <si>
    <t>848798006411</t>
  </si>
  <si>
    <t>848798006428</t>
  </si>
  <si>
    <t>848798006435</t>
  </si>
  <si>
    <t>848798006442</t>
  </si>
  <si>
    <t>848798006459</t>
  </si>
  <si>
    <t>848798006466</t>
  </si>
  <si>
    <t>848798006473</t>
  </si>
  <si>
    <t>848798006480</t>
  </si>
  <si>
    <t>848798006497</t>
  </si>
  <si>
    <t>848798006503</t>
  </si>
  <si>
    <t>848798011460</t>
  </si>
  <si>
    <t>848798006510</t>
  </si>
  <si>
    <t>848798011477</t>
  </si>
  <si>
    <t>848798006527</t>
  </si>
  <si>
    <t>848798011484</t>
  </si>
  <si>
    <t>848798006534</t>
  </si>
  <si>
    <t>848798006541</t>
  </si>
  <si>
    <t>848798006558</t>
  </si>
  <si>
    <t>848798006565</t>
  </si>
  <si>
    <t>848798006572</t>
  </si>
  <si>
    <t>848798006589</t>
  </si>
  <si>
    <t>848798019640</t>
  </si>
  <si>
    <t>848798010715</t>
  </si>
  <si>
    <t>848798010722</t>
  </si>
  <si>
    <t>848798010739</t>
  </si>
  <si>
    <t>848798010746</t>
  </si>
  <si>
    <t>848798010753</t>
  </si>
  <si>
    <t>848798010760</t>
  </si>
  <si>
    <t>848798010777</t>
  </si>
  <si>
    <t>848798010784</t>
  </si>
  <si>
    <t>848798010791</t>
  </si>
  <si>
    <t>848798012351</t>
  </si>
  <si>
    <t>848798012368</t>
  </si>
  <si>
    <t>848798019657</t>
  </si>
  <si>
    <t>848798011491</t>
  </si>
  <si>
    <t>848798011507</t>
  </si>
  <si>
    <t>848798011514</t>
  </si>
  <si>
    <t>848798011521</t>
  </si>
  <si>
    <t>848798011538</t>
  </si>
  <si>
    <t>848798011545</t>
  </si>
  <si>
    <t>848798011552</t>
  </si>
  <si>
    <t>848798011569</t>
  </si>
  <si>
    <t>848798011576</t>
  </si>
  <si>
    <t>848798011606</t>
  </si>
  <si>
    <t>848798011637</t>
  </si>
  <si>
    <t>848798012399</t>
  </si>
  <si>
    <t>848798012405</t>
  </si>
  <si>
    <t>848798011712</t>
  </si>
  <si>
    <t>848798011729</t>
  </si>
  <si>
    <t>848798011736</t>
  </si>
  <si>
    <t>848798011743</t>
  </si>
  <si>
    <t>848798011750</t>
  </si>
  <si>
    <t>848798011767</t>
  </si>
  <si>
    <t>848798011774</t>
  </si>
  <si>
    <t>848798011781</t>
  </si>
  <si>
    <t>848798011798</t>
  </si>
  <si>
    <t>848798011804</t>
  </si>
  <si>
    <t>848798011835</t>
  </si>
  <si>
    <t>848798011866</t>
  </si>
  <si>
    <t>848798011910</t>
  </si>
  <si>
    <t>848798011965</t>
  </si>
  <si>
    <t>848798012016</t>
  </si>
  <si>
    <t>848798012023</t>
  </si>
  <si>
    <t>848798012047</t>
  </si>
  <si>
    <t>848798012054</t>
  </si>
  <si>
    <t>848798006596</t>
  </si>
  <si>
    <t>848798006602</t>
  </si>
  <si>
    <t>848798006619</t>
  </si>
  <si>
    <t>848798006626</t>
  </si>
  <si>
    <t>848798006633</t>
  </si>
  <si>
    <t>848798006640</t>
  </si>
  <si>
    <t>848798006657</t>
  </si>
  <si>
    <t>848798006664</t>
  </si>
  <si>
    <t>848798006671</t>
  </si>
  <si>
    <t>848798006688</t>
  </si>
  <si>
    <t>848798006695</t>
  </si>
  <si>
    <t>848798006701</t>
  </si>
  <si>
    <t>848798006763</t>
  </si>
  <si>
    <t>848798006770</t>
  </si>
  <si>
    <t>848798006794</t>
  </si>
  <si>
    <t>848798006800</t>
  </si>
  <si>
    <t>848798006817</t>
  </si>
  <si>
    <t>848798006831</t>
  </si>
  <si>
    <t>848798006916</t>
  </si>
  <si>
    <t>848798010890</t>
  </si>
  <si>
    <t>848798010906</t>
  </si>
  <si>
    <t>848798010913</t>
  </si>
  <si>
    <t>848798010920</t>
  </si>
  <si>
    <t>848798010937</t>
  </si>
  <si>
    <t>848798010944</t>
  </si>
  <si>
    <t>848798010951</t>
  </si>
  <si>
    <t>848798010968</t>
  </si>
  <si>
    <t>848798010975</t>
  </si>
  <si>
    <t>848798011439</t>
  </si>
  <si>
    <t>848798012436</t>
  </si>
  <si>
    <t>848798012443</t>
  </si>
  <si>
    <t>848798019916</t>
  </si>
  <si>
    <t>848798019923</t>
  </si>
  <si>
    <t>848798019947</t>
  </si>
  <si>
    <t>848798019954</t>
  </si>
  <si>
    <t>848798019961</t>
  </si>
  <si>
    <t>848798019978</t>
  </si>
  <si>
    <t>848798019985</t>
  </si>
  <si>
    <t>848798020004</t>
  </si>
  <si>
    <t>848798020011</t>
  </si>
  <si>
    <t>848798020035</t>
  </si>
  <si>
    <t>848798020042</t>
  </si>
  <si>
    <t>848798020059</t>
  </si>
  <si>
    <t>848798020066</t>
  </si>
  <si>
    <t>848798020073</t>
  </si>
  <si>
    <t>848798020455</t>
  </si>
  <si>
    <t>848798020462</t>
  </si>
  <si>
    <t>848798020479</t>
  </si>
  <si>
    <t>848798020486</t>
  </si>
  <si>
    <t>848798020530</t>
  </si>
  <si>
    <t>848798013129</t>
  </si>
  <si>
    <t>848798006985</t>
  </si>
  <si>
    <t>848798020578</t>
  </si>
  <si>
    <t>848798007012</t>
  </si>
  <si>
    <t>848798007029</t>
  </si>
  <si>
    <t>848798007036</t>
  </si>
  <si>
    <t>848798007043</t>
  </si>
  <si>
    <t>848798007050</t>
  </si>
  <si>
    <t>848798007067</t>
  </si>
  <si>
    <t>848798007074</t>
  </si>
  <si>
    <t>848798007081</t>
  </si>
  <si>
    <t>848798007098</t>
  </si>
  <si>
    <t>848798007104</t>
  </si>
  <si>
    <t>848798007111</t>
  </si>
  <si>
    <t>848798020608</t>
  </si>
  <si>
    <t>848798020615</t>
  </si>
  <si>
    <t>848798020622</t>
  </si>
  <si>
    <t>848798007128</t>
  </si>
  <si>
    <t>848798007135</t>
  </si>
  <si>
    <t>848798007142</t>
  </si>
  <si>
    <t>848798020639</t>
  </si>
  <si>
    <t>848798020646</t>
  </si>
  <si>
    <t>848798020653</t>
  </si>
  <si>
    <t>848798007159</t>
  </si>
  <si>
    <t>848798007166</t>
  </si>
  <si>
    <t>848798007173</t>
  </si>
  <si>
    <t>848798020660</t>
  </si>
  <si>
    <t>848798020677</t>
  </si>
  <si>
    <t>848798020684</t>
  </si>
  <si>
    <t>848798007180</t>
  </si>
  <si>
    <t>848798007197</t>
  </si>
  <si>
    <t>848798007203</t>
  </si>
  <si>
    <t>848798020691</t>
  </si>
  <si>
    <t>848798020707</t>
  </si>
  <si>
    <t>848798020714</t>
  </si>
  <si>
    <t>848798007210</t>
  </si>
  <si>
    <t>848798007227</t>
  </si>
  <si>
    <t>848798007234</t>
  </si>
  <si>
    <t>848798020721</t>
  </si>
  <si>
    <t>848798020738</t>
  </si>
  <si>
    <t>848798020745</t>
  </si>
  <si>
    <t>848798007241</t>
  </si>
  <si>
    <t>848798007258</t>
  </si>
  <si>
    <t>848798007265</t>
  </si>
  <si>
    <t>848798020752</t>
  </si>
  <si>
    <t>848798020769</t>
  </si>
  <si>
    <t>848798020776</t>
  </si>
  <si>
    <t>848798007272</t>
  </si>
  <si>
    <t>848798007289</t>
  </si>
  <si>
    <t>848798007296</t>
  </si>
  <si>
    <t>848798020783</t>
  </si>
  <si>
    <t>848798020790</t>
  </si>
  <si>
    <t>848798020806</t>
  </si>
  <si>
    <t>848798007302</t>
  </si>
  <si>
    <t>848798007319</t>
  </si>
  <si>
    <t>848798007326</t>
  </si>
  <si>
    <t>848798020813</t>
  </si>
  <si>
    <t>848798020820</t>
  </si>
  <si>
    <t>848798020837</t>
  </si>
  <si>
    <t>848798007333</t>
  </si>
  <si>
    <t>848798007340</t>
  </si>
  <si>
    <t>848798007357</t>
  </si>
  <si>
    <t>848798007364</t>
  </si>
  <si>
    <t>848798007371</t>
  </si>
  <si>
    <t>848798020844</t>
  </si>
  <si>
    <t>848798020851</t>
  </si>
  <si>
    <t>848798020868</t>
  </si>
  <si>
    <t>848798007388</t>
  </si>
  <si>
    <t>848798007395</t>
  </si>
  <si>
    <t>848798007401</t>
  </si>
  <si>
    <t>848798020875</t>
  </si>
  <si>
    <t>848798020882</t>
  </si>
  <si>
    <t>848798020899</t>
  </si>
  <si>
    <t>848798007418</t>
  </si>
  <si>
    <t>848798007425</t>
  </si>
  <si>
    <t>848798007432</t>
  </si>
  <si>
    <t>848798007449</t>
  </si>
  <si>
    <t>848798020905</t>
  </si>
  <si>
    <t>848798007456</t>
  </si>
  <si>
    <t>848798007463</t>
  </si>
  <si>
    <t>848798020912</t>
  </si>
  <si>
    <t>848798007470</t>
  </si>
  <si>
    <t>848798007487</t>
  </si>
  <si>
    <t>848798007500</t>
  </si>
  <si>
    <t>848798007517</t>
  </si>
  <si>
    <t>848798007531</t>
  </si>
  <si>
    <t>848798007548</t>
  </si>
  <si>
    <t>848798007555</t>
  </si>
  <si>
    <t>848798007562</t>
  </si>
  <si>
    <t>848798007579</t>
  </si>
  <si>
    <t>848798007586</t>
  </si>
  <si>
    <t>848798007593</t>
  </si>
  <si>
    <t>848798007609</t>
  </si>
  <si>
    <t>848798007616</t>
  </si>
  <si>
    <t>848798007623</t>
  </si>
  <si>
    <t>848798007630</t>
  </si>
  <si>
    <t>848798007647</t>
  </si>
  <si>
    <t>848798007654</t>
  </si>
  <si>
    <t>848798007661</t>
  </si>
  <si>
    <t>848798007678</t>
  </si>
  <si>
    <t>848798007685</t>
  </si>
  <si>
    <t>848798007692</t>
  </si>
  <si>
    <t>848798007708</t>
  </si>
  <si>
    <t>848798007715</t>
  </si>
  <si>
    <t>848798007722</t>
  </si>
  <si>
    <t>848798007739</t>
  </si>
  <si>
    <t>848798007746</t>
  </si>
  <si>
    <t>848798007753</t>
  </si>
  <si>
    <t>848798007760</t>
  </si>
  <si>
    <t>848798007777</t>
  </si>
  <si>
    <t>848798007784</t>
  </si>
  <si>
    <t>848798007791</t>
  </si>
  <si>
    <t>848798007807</t>
  </si>
  <si>
    <t>848798007814</t>
  </si>
  <si>
    <t>848798007821</t>
  </si>
  <si>
    <t>848798007838</t>
  </si>
  <si>
    <t>848798007845</t>
  </si>
  <si>
    <t>848798007852</t>
  </si>
  <si>
    <t>848798007869</t>
  </si>
  <si>
    <t>848798007876</t>
  </si>
  <si>
    <t>848798007883</t>
  </si>
  <si>
    <t>848798007890</t>
  </si>
  <si>
    <t>848798007906</t>
  </si>
  <si>
    <t>848798007913</t>
  </si>
  <si>
    <t>848798007920</t>
  </si>
  <si>
    <t>848798007937</t>
  </si>
  <si>
    <t>848798007944</t>
  </si>
  <si>
    <t>848798007951</t>
  </si>
  <si>
    <t>848798007968</t>
  </si>
  <si>
    <t>848798007975</t>
  </si>
  <si>
    <t>848798007982</t>
  </si>
  <si>
    <t>848798007999</t>
  </si>
  <si>
    <t>848798020929</t>
  </si>
  <si>
    <t>848798020936</t>
  </si>
  <si>
    <t>848798008002</t>
  </si>
  <si>
    <t>848798008019</t>
  </si>
  <si>
    <t>848798008026</t>
  </si>
  <si>
    <t>848798008033</t>
  </si>
  <si>
    <t>848798008040</t>
  </si>
  <si>
    <t>848798020943</t>
  </si>
  <si>
    <t>848798020950</t>
  </si>
  <si>
    <t>848798008057</t>
  </si>
  <si>
    <t>848798008064</t>
  </si>
  <si>
    <t>848798008071</t>
  </si>
  <si>
    <t>848798008088</t>
  </si>
  <si>
    <t>848798008095</t>
  </si>
  <si>
    <t>848798008101</t>
  </si>
  <si>
    <t>848798020967</t>
  </si>
  <si>
    <t>848798020974</t>
  </si>
  <si>
    <t>848798008118</t>
  </si>
  <si>
    <t>848798008125</t>
  </si>
  <si>
    <t>848798008132</t>
  </si>
  <si>
    <t>848798008149</t>
  </si>
  <si>
    <t>848798008156</t>
  </si>
  <si>
    <t>848798020981</t>
  </si>
  <si>
    <t>848798020998</t>
  </si>
  <si>
    <t>848798008163</t>
  </si>
  <si>
    <t>848798008170</t>
  </si>
  <si>
    <t>848798008187</t>
  </si>
  <si>
    <t>848798008194</t>
  </si>
  <si>
    <t>848798008200</t>
  </si>
  <si>
    <t>848798008217</t>
  </si>
  <si>
    <t>848798008224</t>
  </si>
  <si>
    <t>848798008231</t>
  </si>
  <si>
    <t>848798021001</t>
  </si>
  <si>
    <t>848798021018</t>
  </si>
  <si>
    <t>848798021025</t>
  </si>
  <si>
    <t>848798021032</t>
  </si>
  <si>
    <t>848798008286</t>
  </si>
  <si>
    <t>848798021049</t>
  </si>
  <si>
    <t>848798021056</t>
  </si>
  <si>
    <t>848798021063</t>
  </si>
  <si>
    <t>848798021605</t>
  </si>
  <si>
    <t>848798021612</t>
  </si>
  <si>
    <t>848798021629</t>
  </si>
  <si>
    <t>848798008293</t>
  </si>
  <si>
    <t>848798008309</t>
  </si>
  <si>
    <t>848798021636</t>
  </si>
  <si>
    <t>848798021643</t>
  </si>
  <si>
    <t>848798021650</t>
  </si>
  <si>
    <t>848798021667</t>
  </si>
  <si>
    <t>848798021070</t>
  </si>
  <si>
    <t>848798021087</t>
  </si>
  <si>
    <t>848798021094</t>
  </si>
  <si>
    <t>848798021100</t>
  </si>
  <si>
    <t>848798021117</t>
  </si>
  <si>
    <t>848798021124</t>
  </si>
  <si>
    <t>848798021131</t>
  </si>
  <si>
    <t>848798021148</t>
  </si>
  <si>
    <t>848798021155</t>
  </si>
  <si>
    <t>848798021162</t>
  </si>
  <si>
    <t>848798021179</t>
  </si>
  <si>
    <t>848798021186</t>
  </si>
  <si>
    <t>848798021193</t>
  </si>
  <si>
    <t>848798021209</t>
  </si>
  <si>
    <t>848798021216</t>
  </si>
  <si>
    <t>848798021223</t>
  </si>
  <si>
    <t>848798021230</t>
  </si>
  <si>
    <t>848798021247</t>
  </si>
  <si>
    <t>848798021254</t>
  </si>
  <si>
    <t>848798021261</t>
  </si>
  <si>
    <t>848798021278</t>
  </si>
  <si>
    <t>848798021285</t>
  </si>
  <si>
    <t>848798021292</t>
  </si>
  <si>
    <t>848798021308</t>
  </si>
  <si>
    <t>848798021315</t>
  </si>
  <si>
    <t>848798021322</t>
  </si>
  <si>
    <t>848798021339</t>
  </si>
  <si>
    <t>848798021346</t>
  </si>
  <si>
    <t>848798021353</t>
  </si>
  <si>
    <t>848798021360</t>
  </si>
  <si>
    <t>848798021377</t>
  </si>
  <si>
    <t>848798021384</t>
  </si>
  <si>
    <t>848798021391</t>
  </si>
  <si>
    <t>848798021407</t>
  </si>
  <si>
    <t>848798021414</t>
  </si>
  <si>
    <t>848798021421</t>
  </si>
  <si>
    <t>848798021438</t>
  </si>
  <si>
    <t>848798021445</t>
  </si>
  <si>
    <t>848798021452</t>
  </si>
  <si>
    <t>848798021469</t>
  </si>
  <si>
    <t>848798021476</t>
  </si>
  <si>
    <t>848798021483</t>
  </si>
  <si>
    <t>848798021490</t>
  </si>
  <si>
    <t>848798021506</t>
  </si>
  <si>
    <t>848798021513</t>
  </si>
  <si>
    <t>848798021520</t>
  </si>
  <si>
    <t>848798021537</t>
  </si>
  <si>
    <t>848798021544</t>
  </si>
  <si>
    <t>848798021551</t>
  </si>
  <si>
    <t>848798021568</t>
  </si>
  <si>
    <t>848798021575</t>
  </si>
  <si>
    <t>848798021582</t>
  </si>
  <si>
    <t>848798021599</t>
  </si>
  <si>
    <t>848798008316</t>
  </si>
  <si>
    <t>848798008323</t>
  </si>
  <si>
    <t>848798008330</t>
  </si>
  <si>
    <t>848798008347</t>
  </si>
  <si>
    <t>848798008354</t>
  </si>
  <si>
    <t>848798008361</t>
  </si>
  <si>
    <t>848798008378</t>
  </si>
  <si>
    <t>848798008385</t>
  </si>
  <si>
    <t>848798008392</t>
  </si>
  <si>
    <t>848798008408</t>
  </si>
  <si>
    <t>848798008415</t>
  </si>
  <si>
    <t>848798008422</t>
  </si>
  <si>
    <t>848798008439</t>
  </si>
  <si>
    <t>848798008446</t>
  </si>
  <si>
    <t>848798008453</t>
  </si>
  <si>
    <t>848798008460</t>
  </si>
  <si>
    <t>848798008477</t>
  </si>
  <si>
    <t>848798008484</t>
  </si>
  <si>
    <t>848798008491</t>
  </si>
  <si>
    <t>848798008507</t>
  </si>
  <si>
    <t>848798008514</t>
  </si>
  <si>
    <t>848798008521</t>
  </si>
  <si>
    <t>848798008538</t>
  </si>
  <si>
    <t>848798008545</t>
  </si>
  <si>
    <t>848798008552</t>
  </si>
  <si>
    <t>848798008569</t>
  </si>
  <si>
    <t>848798012474</t>
  </si>
  <si>
    <t>848798013136</t>
  </si>
  <si>
    <t>848798008576</t>
  </si>
  <si>
    <t>848798008583</t>
  </si>
  <si>
    <t>848798021759</t>
  </si>
  <si>
    <t>848798021766</t>
  </si>
  <si>
    <t>848798021773</t>
  </si>
  <si>
    <t>848798021780</t>
  </si>
  <si>
    <t>848798021797</t>
  </si>
  <si>
    <t>848798008590</t>
  </si>
  <si>
    <t>848798008606</t>
  </si>
  <si>
    <t>848798021803</t>
  </si>
  <si>
    <t>848798021810</t>
  </si>
  <si>
    <t>848798013143</t>
  </si>
  <si>
    <t>848798021827</t>
  </si>
  <si>
    <t>848798021834</t>
  </si>
  <si>
    <t>848798021841</t>
  </si>
  <si>
    <t>848798021858</t>
  </si>
  <si>
    <t>848798021865</t>
  </si>
  <si>
    <t>848798021872</t>
  </si>
  <si>
    <t>848798021889</t>
  </si>
  <si>
    <t>848798021896</t>
  </si>
  <si>
    <t>848798021902</t>
  </si>
  <si>
    <t>848798021919</t>
  </si>
  <si>
    <t>848798021926</t>
  </si>
  <si>
    <t>848798021933</t>
  </si>
  <si>
    <t>848798021940</t>
  </si>
  <si>
    <t>848798021957</t>
  </si>
  <si>
    <t>848798021964</t>
  </si>
  <si>
    <t>848798021971</t>
  </si>
  <si>
    <t>848798021988</t>
  </si>
  <si>
    <t>848798021995</t>
  </si>
  <si>
    <t>848798022008</t>
  </si>
  <si>
    <t>848798022015</t>
  </si>
  <si>
    <t>848798022022</t>
  </si>
  <si>
    <t>848798022039</t>
  </si>
  <si>
    <t>848798022046</t>
  </si>
  <si>
    <t>848798022053</t>
  </si>
  <si>
    <t>848798022060</t>
  </si>
  <si>
    <t>848798022077</t>
  </si>
  <si>
    <t>848798022084</t>
  </si>
  <si>
    <t>848798022091</t>
  </si>
  <si>
    <t>848798022107</t>
  </si>
  <si>
    <t>848798022114</t>
  </si>
  <si>
    <t>848798022121</t>
  </si>
  <si>
    <t>848798022138</t>
  </si>
  <si>
    <t>848798022145</t>
  </si>
  <si>
    <t>848798022152</t>
  </si>
  <si>
    <t>40555-SS</t>
  </si>
  <si>
    <t>848798027935</t>
  </si>
  <si>
    <t>848798022176</t>
  </si>
  <si>
    <t>848798022183</t>
  </si>
  <si>
    <t>848798022190</t>
  </si>
  <si>
    <t>848798022206</t>
  </si>
  <si>
    <t>848798022213</t>
  </si>
  <si>
    <t>848798022220</t>
  </si>
  <si>
    <t>848798022237</t>
  </si>
  <si>
    <t>848798022244</t>
  </si>
  <si>
    <t>848798022251</t>
  </si>
  <si>
    <t>848798022268</t>
  </si>
  <si>
    <t>848798022275</t>
  </si>
  <si>
    <t>848798022282</t>
  </si>
  <si>
    <t>848798022299</t>
  </si>
  <si>
    <t>848798022305</t>
  </si>
  <si>
    <t>848798022312</t>
  </si>
  <si>
    <t>848798022329</t>
  </si>
  <si>
    <t>848798022336</t>
  </si>
  <si>
    <t>848798022343</t>
  </si>
  <si>
    <t>848798022350</t>
  </si>
  <si>
    <t>848798022367</t>
  </si>
  <si>
    <t>848798022374</t>
  </si>
  <si>
    <t>848798022381</t>
  </si>
  <si>
    <t>848798022398</t>
  </si>
  <si>
    <t>848798022404</t>
  </si>
  <si>
    <t>848798022411</t>
  </si>
  <si>
    <t>848798022428</t>
  </si>
  <si>
    <t>848798022435</t>
  </si>
  <si>
    <t>848798022442</t>
  </si>
  <si>
    <t>848798022459</t>
  </si>
  <si>
    <t>848798022466</t>
  </si>
  <si>
    <t>848798022473</t>
  </si>
  <si>
    <t>848798022480</t>
  </si>
  <si>
    <t>848798022497</t>
  </si>
  <si>
    <t>848798022503</t>
  </si>
  <si>
    <t>848798022510</t>
  </si>
  <si>
    <t>848798022527</t>
  </si>
  <si>
    <t>848798022534</t>
  </si>
  <si>
    <t>848798022541</t>
  </si>
  <si>
    <t>848798022558</t>
  </si>
  <si>
    <t>848798022565</t>
  </si>
  <si>
    <t>848798022572</t>
  </si>
  <si>
    <t>848798022589</t>
  </si>
  <si>
    <t>848798022596</t>
  </si>
  <si>
    <t>848798022602</t>
  </si>
  <si>
    <t>848798022619</t>
  </si>
  <si>
    <t>848798022626</t>
  </si>
  <si>
    <t>848798022633</t>
  </si>
  <si>
    <t>848798022640</t>
  </si>
  <si>
    <t>848798022657</t>
  </si>
  <si>
    <t>848798022664</t>
  </si>
  <si>
    <t>848798022671</t>
  </si>
  <si>
    <t>848798022688</t>
  </si>
  <si>
    <t>848798022695</t>
  </si>
  <si>
    <t>848798022701</t>
  </si>
  <si>
    <t>848798022718</t>
  </si>
  <si>
    <t>848798022725</t>
  </si>
  <si>
    <t>848798022732</t>
  </si>
  <si>
    <t>848798022749</t>
  </si>
  <si>
    <t>848798008613</t>
  </si>
  <si>
    <t>848798008620</t>
  </si>
  <si>
    <t>848798008637</t>
  </si>
  <si>
    <t>848798008644</t>
  </si>
  <si>
    <t>848798008651</t>
  </si>
  <si>
    <t>848798008668</t>
  </si>
  <si>
    <t>848798008675</t>
  </si>
  <si>
    <t>848798008682</t>
  </si>
  <si>
    <t>848798008699</t>
  </si>
  <si>
    <t>848798012085</t>
  </si>
  <si>
    <t>848798012092</t>
  </si>
  <si>
    <t>848798012108</t>
  </si>
  <si>
    <t>848798022756</t>
  </si>
  <si>
    <t>848798022763</t>
  </si>
  <si>
    <t>848798022770</t>
  </si>
  <si>
    <t>848798022787</t>
  </si>
  <si>
    <t>848798008705</t>
  </si>
  <si>
    <t>848798008712</t>
  </si>
  <si>
    <t>848798022794</t>
  </si>
  <si>
    <t>848798022800</t>
  </si>
  <si>
    <t>848798022817</t>
  </si>
  <si>
    <t>848798022824</t>
  </si>
  <si>
    <t>848798022831</t>
  </si>
  <si>
    <t>848798008729</t>
  </si>
  <si>
    <t>848798008736</t>
  </si>
  <si>
    <t>848798008743</t>
  </si>
  <si>
    <t>848798008750</t>
  </si>
  <si>
    <t>848798008767</t>
  </si>
  <si>
    <t>848798008774</t>
  </si>
  <si>
    <t>848798008781</t>
  </si>
  <si>
    <t>848798022848</t>
  </si>
  <si>
    <t>848798022855</t>
  </si>
  <si>
    <t>848798022862</t>
  </si>
  <si>
    <t>848798022879</t>
  </si>
  <si>
    <t>848798008798</t>
  </si>
  <si>
    <t>848798022886</t>
  </si>
  <si>
    <t>848798022893</t>
  </si>
  <si>
    <t>848798022909</t>
  </si>
  <si>
    <t>848798022916</t>
  </si>
  <si>
    <t>848798008927</t>
  </si>
  <si>
    <t>848798008934</t>
  </si>
  <si>
    <t>848798008941</t>
  </si>
  <si>
    <t>848798008958</t>
  </si>
  <si>
    <t>848798022930</t>
  </si>
  <si>
    <t>848798022947</t>
  </si>
  <si>
    <t>848798022954</t>
  </si>
  <si>
    <t>848798022961</t>
  </si>
  <si>
    <t>848798022978</t>
  </si>
  <si>
    <t>848798022985</t>
  </si>
  <si>
    <t>848798022992</t>
  </si>
  <si>
    <t>848798023005</t>
  </si>
  <si>
    <t>848798023012</t>
  </si>
  <si>
    <t>848798023029</t>
  </si>
  <si>
    <t>848798008996</t>
  </si>
  <si>
    <t>848798009009</t>
  </si>
  <si>
    <t>848798009016</t>
  </si>
  <si>
    <t>848798009023</t>
  </si>
  <si>
    <t>848798009030</t>
  </si>
  <si>
    <t>848798009047</t>
  </si>
  <si>
    <t>848798009054</t>
  </si>
  <si>
    <t>848798009061</t>
  </si>
  <si>
    <t>848798009078</t>
  </si>
  <si>
    <t>848798009085</t>
  </si>
  <si>
    <t>848798009108</t>
  </si>
  <si>
    <t>848798009115</t>
  </si>
  <si>
    <t>848798009122</t>
  </si>
  <si>
    <t>848798023036</t>
  </si>
  <si>
    <t>848798009139</t>
  </si>
  <si>
    <t>848798009177</t>
  </si>
  <si>
    <t>848798009214</t>
  </si>
  <si>
    <t>848798009252</t>
  </si>
  <si>
    <t>848798009269</t>
  </si>
  <si>
    <t>848798009276</t>
  </si>
  <si>
    <t>848798009283</t>
  </si>
  <si>
    <t>848798009290</t>
  </si>
  <si>
    <t>848798009306</t>
  </si>
  <si>
    <t>848798009313</t>
  </si>
  <si>
    <t>848798013167</t>
  </si>
  <si>
    <t>848798023043</t>
  </si>
  <si>
    <t>848798013174</t>
  </si>
  <si>
    <t>848798009320</t>
  </si>
  <si>
    <t>848798009337</t>
  </si>
  <si>
    <t>848798009344</t>
  </si>
  <si>
    <t>848798023050</t>
  </si>
  <si>
    <t>848798009351</t>
  </si>
  <si>
    <t>848798009368</t>
  </si>
  <si>
    <t>848798009375</t>
  </si>
  <si>
    <t>848798009382</t>
  </si>
  <si>
    <t>848798023067</t>
  </si>
  <si>
    <t>848798009429</t>
  </si>
  <si>
    <t>848798023074</t>
  </si>
  <si>
    <t>848798009702</t>
  </si>
  <si>
    <t>848798009719</t>
  </si>
  <si>
    <t>848798009726</t>
  </si>
  <si>
    <t>848798009733</t>
  </si>
  <si>
    <t>848798009740</t>
  </si>
  <si>
    <t>848798009757</t>
  </si>
  <si>
    <t>848798009764</t>
  </si>
  <si>
    <t>848798009771</t>
  </si>
  <si>
    <t>848798009788</t>
  </si>
  <si>
    <t>848798009795</t>
  </si>
  <si>
    <t>848798009801</t>
  </si>
  <si>
    <t>848798009818</t>
  </si>
  <si>
    <t>848798009825</t>
  </si>
  <si>
    <t>848798009832</t>
  </si>
  <si>
    <t>848798023159</t>
  </si>
  <si>
    <t>848798009849</t>
  </si>
  <si>
    <t>848798023166</t>
  </si>
  <si>
    <t>848798023173</t>
  </si>
  <si>
    <t>848798009856</t>
  </si>
  <si>
    <t>848798009863</t>
  </si>
  <si>
    <t>848798023180</t>
  </si>
  <si>
    <t>848798009870</t>
  </si>
  <si>
    <t>848798023197</t>
  </si>
  <si>
    <t>848798023203</t>
  </si>
  <si>
    <t>848798009887</t>
  </si>
  <si>
    <t>848798009894</t>
  </si>
  <si>
    <t>848798023210</t>
  </si>
  <si>
    <t>848798009900</t>
  </si>
  <si>
    <t>848798023227</t>
  </si>
  <si>
    <t>848798023234</t>
  </si>
  <si>
    <t>848798009917</t>
  </si>
  <si>
    <t>848798009924</t>
  </si>
  <si>
    <t>848798023241</t>
  </si>
  <si>
    <t>848798009931</t>
  </si>
  <si>
    <t>848798023258</t>
  </si>
  <si>
    <t>848798023265</t>
  </si>
  <si>
    <t>848798012535</t>
  </si>
  <si>
    <t>848798012542</t>
  </si>
  <si>
    <t>848798012139</t>
  </si>
  <si>
    <t>41286-00</t>
  </si>
  <si>
    <t>CR PORT PLUG ASSY</t>
  </si>
  <si>
    <t>41286-01</t>
  </si>
  <si>
    <t>CR PORT PLUG BODY</t>
  </si>
  <si>
    <t>848798009948</t>
  </si>
  <si>
    <t>848798009955</t>
  </si>
  <si>
    <t>848798009962</t>
  </si>
  <si>
    <t>Saleable, contact factory</t>
  </si>
  <si>
    <t>848798023340</t>
  </si>
  <si>
    <t>848798023357</t>
  </si>
  <si>
    <t>848798023364</t>
  </si>
  <si>
    <t>848798023371</t>
  </si>
  <si>
    <t>848798023388</t>
  </si>
  <si>
    <t>848798023395</t>
  </si>
  <si>
    <t>848798023401</t>
  </si>
  <si>
    <t>848798023418</t>
  </si>
  <si>
    <t>848798023425</t>
  </si>
  <si>
    <t>848798023432</t>
  </si>
  <si>
    <t>848798023449</t>
  </si>
  <si>
    <t>848798023456</t>
  </si>
  <si>
    <t>848798023463</t>
  </si>
  <si>
    <t>848798023470</t>
  </si>
  <si>
    <t>848798023487</t>
  </si>
  <si>
    <t>848798023494</t>
  </si>
  <si>
    <t>848798023500</t>
  </si>
  <si>
    <t>848798023517</t>
  </si>
  <si>
    <t>848798023524</t>
  </si>
  <si>
    <t>848798023531</t>
  </si>
  <si>
    <t>848798023548</t>
  </si>
  <si>
    <t>848798023555</t>
  </si>
  <si>
    <t>848798023562</t>
  </si>
  <si>
    <t>848798023579</t>
  </si>
  <si>
    <t>848798023586</t>
  </si>
  <si>
    <t>848798023593</t>
  </si>
  <si>
    <t>848798023609</t>
  </si>
  <si>
    <t>848798023616</t>
  </si>
  <si>
    <t>848798023623</t>
  </si>
  <si>
    <t>848798023647</t>
  </si>
  <si>
    <t>848798023654</t>
  </si>
  <si>
    <t>848798023661</t>
  </si>
  <si>
    <t>848798023678</t>
  </si>
  <si>
    <t>848798023685</t>
  </si>
  <si>
    <t>848798023692</t>
  </si>
  <si>
    <t>848798023708</t>
  </si>
  <si>
    <t>848798023715</t>
  </si>
  <si>
    <t>848798023722</t>
  </si>
  <si>
    <t>848798023739</t>
  </si>
  <si>
    <t>848798023746</t>
  </si>
  <si>
    <t>848798023753</t>
  </si>
  <si>
    <t>848798023760</t>
  </si>
  <si>
    <t>848798023777</t>
  </si>
  <si>
    <t>848798023784</t>
  </si>
  <si>
    <t>848798023791</t>
  </si>
  <si>
    <t>848798023807</t>
  </si>
  <si>
    <t>848798023814</t>
  </si>
  <si>
    <t>848798023821</t>
  </si>
  <si>
    <t>848798023838</t>
  </si>
  <si>
    <t>848798023845</t>
  </si>
  <si>
    <t>848798023852</t>
  </si>
  <si>
    <t>848798023869</t>
  </si>
  <si>
    <t>848798023876</t>
  </si>
  <si>
    <t>848798023883</t>
  </si>
  <si>
    <t>848798023890</t>
  </si>
  <si>
    <t>848798023906</t>
  </si>
  <si>
    <t>848798023913</t>
  </si>
  <si>
    <t>848798023920</t>
  </si>
  <si>
    <t>848798023937</t>
  </si>
  <si>
    <t>848798023944</t>
  </si>
  <si>
    <t>848798023951</t>
  </si>
  <si>
    <t>848798023968</t>
  </si>
  <si>
    <t>848798023975</t>
  </si>
  <si>
    <t>848798023982</t>
  </si>
  <si>
    <t>848798023999</t>
  </si>
  <si>
    <t>848798024002</t>
  </si>
  <si>
    <t>848798024019</t>
  </si>
  <si>
    <t>848798024026</t>
  </si>
  <si>
    <t>41371-03</t>
  </si>
  <si>
    <t>848798027942</t>
  </si>
  <si>
    <t>848798024033</t>
  </si>
  <si>
    <t>848798024040</t>
  </si>
  <si>
    <t>848798024071</t>
  </si>
  <si>
    <t>848798024095</t>
  </si>
  <si>
    <t>848798024101</t>
  </si>
  <si>
    <t>848798024118</t>
  </si>
  <si>
    <t>848798024125</t>
  </si>
  <si>
    <t>848798024132</t>
  </si>
  <si>
    <t>848798024149</t>
  </si>
  <si>
    <t>848798024156</t>
  </si>
  <si>
    <t>848798024163</t>
  </si>
  <si>
    <t>848798024170</t>
  </si>
  <si>
    <t>848798024187</t>
  </si>
  <si>
    <t>848798024194</t>
  </si>
  <si>
    <t>848798024200</t>
  </si>
  <si>
    <t>848798024217</t>
  </si>
  <si>
    <t>848798024224</t>
  </si>
  <si>
    <t>848798024231</t>
  </si>
  <si>
    <t>848798024248</t>
  </si>
  <si>
    <t>848798024255</t>
  </si>
  <si>
    <t>848798024262</t>
  </si>
  <si>
    <t>848798024279</t>
  </si>
  <si>
    <t>848798024286</t>
  </si>
  <si>
    <t>848798024293</t>
  </si>
  <si>
    <t>848798013198</t>
  </si>
  <si>
    <t>848798013204</t>
  </si>
  <si>
    <t>848798013211</t>
  </si>
  <si>
    <t>848798013228</t>
  </si>
  <si>
    <t>848798013235</t>
  </si>
  <si>
    <t>848798013242</t>
  </si>
  <si>
    <t>848798024323</t>
  </si>
  <si>
    <t>848798024330</t>
  </si>
  <si>
    <t>848798024347</t>
  </si>
  <si>
    <t>848798024354</t>
  </si>
  <si>
    <t>848798024361</t>
  </si>
  <si>
    <t>848798024378</t>
  </si>
  <si>
    <t>848798024385</t>
  </si>
  <si>
    <t>848798024392</t>
  </si>
  <si>
    <t>848798024408</t>
  </si>
  <si>
    <t>848798024415</t>
  </si>
  <si>
    <t>848798024422</t>
  </si>
  <si>
    <t>848798024439</t>
  </si>
  <si>
    <t>848798024446</t>
  </si>
  <si>
    <t>848798024453</t>
  </si>
  <si>
    <t>848798024460</t>
  </si>
  <si>
    <t>848798024477</t>
  </si>
  <si>
    <t>848798024484</t>
  </si>
  <si>
    <t>848798024491</t>
  </si>
  <si>
    <t>848798024507</t>
  </si>
  <si>
    <t>848798024514</t>
  </si>
  <si>
    <t>848798024521</t>
  </si>
  <si>
    <t>848798024538</t>
  </si>
  <si>
    <t>848798024545</t>
  </si>
  <si>
    <t>848798024552</t>
  </si>
  <si>
    <t>848798024569</t>
  </si>
  <si>
    <t>848798024576</t>
  </si>
  <si>
    <t>848798024583</t>
  </si>
  <si>
    <t>848798024590</t>
  </si>
  <si>
    <t>848798024606</t>
  </si>
  <si>
    <t>848798024613</t>
  </si>
  <si>
    <t>848798024620</t>
  </si>
  <si>
    <t>848798024637</t>
  </si>
  <si>
    <t>848798024644</t>
  </si>
  <si>
    <t>848798024651</t>
  </si>
  <si>
    <t>848798024668</t>
  </si>
  <si>
    <t>848798024675</t>
  </si>
  <si>
    <t>848798024682</t>
  </si>
  <si>
    <t>848798024699</t>
  </si>
  <si>
    <t>848798024705</t>
  </si>
  <si>
    <t>848798024712</t>
  </si>
  <si>
    <t>848798024729</t>
  </si>
  <si>
    <t>848798024736</t>
  </si>
  <si>
    <t>848798024743</t>
  </si>
  <si>
    <t>848798024750</t>
  </si>
  <si>
    <t>848798024767</t>
  </si>
  <si>
    <t>848798024774</t>
  </si>
  <si>
    <t>848798024781</t>
  </si>
  <si>
    <t>848798024798</t>
  </si>
  <si>
    <t>848798024804</t>
  </si>
  <si>
    <t>848798024811</t>
  </si>
  <si>
    <t>848798024828</t>
  </si>
  <si>
    <t>848798024835</t>
  </si>
  <si>
    <t>848798024842</t>
  </si>
  <si>
    <t>848798024859</t>
  </si>
  <si>
    <t>848798024866</t>
  </si>
  <si>
    <t>848798024873</t>
  </si>
  <si>
    <t>848798024880</t>
  </si>
  <si>
    <t>848798024897</t>
  </si>
  <si>
    <t>848798024903</t>
  </si>
  <si>
    <t>848798024910</t>
  </si>
  <si>
    <t>848798024927</t>
  </si>
  <si>
    <t>848798024934</t>
  </si>
  <si>
    <t>848798024941</t>
  </si>
  <si>
    <t>848798024958</t>
  </si>
  <si>
    <t>848798024965</t>
  </si>
  <si>
    <t>848798024972</t>
  </si>
  <si>
    <t>848798024989</t>
  </si>
  <si>
    <t>848798024996</t>
  </si>
  <si>
    <t>848798025009</t>
  </si>
  <si>
    <t>848798025016</t>
  </si>
  <si>
    <t>848798025023</t>
  </si>
  <si>
    <t>848798009979</t>
  </si>
  <si>
    <t>848798009986</t>
  </si>
  <si>
    <t>848798009993</t>
  </si>
  <si>
    <t>848798010005</t>
  </si>
  <si>
    <t>848798010012</t>
  </si>
  <si>
    <t>848798010029</t>
  </si>
  <si>
    <t>848798010036</t>
  </si>
  <si>
    <t>848798011088</t>
  </si>
  <si>
    <t>848798013259</t>
  </si>
  <si>
    <t>848798025030</t>
  </si>
  <si>
    <t>848798025047</t>
  </si>
  <si>
    <t>848798025054</t>
  </si>
  <si>
    <t>848798025061</t>
  </si>
  <si>
    <t>848798010067</t>
  </si>
  <si>
    <t>848798010074</t>
  </si>
  <si>
    <t>848798010081</t>
  </si>
  <si>
    <t>848798025078</t>
  </si>
  <si>
    <t>848798025085</t>
  </si>
  <si>
    <t>848798025092</t>
  </si>
  <si>
    <t>848798010098</t>
  </si>
  <si>
    <t>848798010104</t>
  </si>
  <si>
    <t>848798010111</t>
  </si>
  <si>
    <t>848798010128</t>
  </si>
  <si>
    <t>848798025108</t>
  </si>
  <si>
    <t>848798025115</t>
  </si>
  <si>
    <t>848798025122</t>
  </si>
  <si>
    <t>848798010135</t>
  </si>
  <si>
    <t>848798025160</t>
  </si>
  <si>
    <t>848798010197</t>
  </si>
  <si>
    <t>848798010203</t>
  </si>
  <si>
    <t>848798010210</t>
  </si>
  <si>
    <t>848798010227</t>
  </si>
  <si>
    <t>848798025177</t>
  </si>
  <si>
    <t>848798025184</t>
  </si>
  <si>
    <t>848798025191</t>
  </si>
  <si>
    <t>848798025207</t>
  </si>
  <si>
    <t>848798025214</t>
  </si>
  <si>
    <t>848798025221</t>
  </si>
  <si>
    <t>848798025238</t>
  </si>
  <si>
    <t>848798025245</t>
  </si>
  <si>
    <t>848798025252</t>
  </si>
  <si>
    <t>848798025269</t>
  </si>
  <si>
    <t>848798025276</t>
  </si>
  <si>
    <t>848798025283</t>
  </si>
  <si>
    <t>848798025290</t>
  </si>
  <si>
    <t>41592-00</t>
  </si>
  <si>
    <t>BOLT MOUNT CLAMP ASSY,HINGED, 1" WB</t>
  </si>
  <si>
    <t>41592-01</t>
  </si>
  <si>
    <t>BOLT MOUNT CLAMP BODY,HINGED, 1" WB</t>
  </si>
  <si>
    <t>41593-00</t>
  </si>
  <si>
    <t>HINGED PLUG ASSY, 1"WB, 21/32" INLET, W/ SMOOTH CLAMP</t>
  </si>
  <si>
    <t>41593-01</t>
  </si>
  <si>
    <t>HINGED PLUG BODY, 1"WB, 21/32" INLET</t>
  </si>
  <si>
    <t>41594-00</t>
  </si>
  <si>
    <t>HINGED PLUG ASSY, 1"WB, 21/32" INLET, W/ BOLT MOUNT CLAMP</t>
  </si>
  <si>
    <t>848798025306</t>
  </si>
  <si>
    <t>848798025313</t>
  </si>
  <si>
    <t>848798025320</t>
  </si>
  <si>
    <t>848798025337</t>
  </si>
  <si>
    <t>848798025344</t>
  </si>
  <si>
    <t>848798025351</t>
  </si>
  <si>
    <t>COMBO-RATE SIDE TURRET CORE, TEEJET THREADED PWM SOLENOID</t>
  </si>
  <si>
    <t>848798025368</t>
  </si>
  <si>
    <t>COMBO-RATE SIDE TURRET CORE KIT, TEEJET THREADED PWM SOLENOID, W/ O-RINGS</t>
  </si>
  <si>
    <t>848798025375</t>
  </si>
  <si>
    <t>COMBO-RATE SIDE TURRET CORE, ARAG/HYPRO THREADED PWM SOLENOID</t>
  </si>
  <si>
    <t>848798025382</t>
  </si>
  <si>
    <t>COMBO-RATE SIDE TURRET CORE KIT, ARAG/HYPRO THREADED PWM SOLENOID, W/ O-RINGS</t>
  </si>
  <si>
    <t>848798025399</t>
  </si>
  <si>
    <t>848798025405</t>
  </si>
  <si>
    <t>848798025412</t>
  </si>
  <si>
    <t>848798025429</t>
  </si>
  <si>
    <t>848798025436</t>
  </si>
  <si>
    <t>848798025443</t>
  </si>
  <si>
    <t>848798025450</t>
  </si>
  <si>
    <t>848798025467</t>
  </si>
  <si>
    <t>848798025474</t>
  </si>
  <si>
    <t>848798025481</t>
  </si>
  <si>
    <t>848798025498</t>
  </si>
  <si>
    <t>848798025504</t>
  </si>
  <si>
    <t>848798025511</t>
  </si>
  <si>
    <t>848798025528</t>
  </si>
  <si>
    <t>848798025535</t>
  </si>
  <si>
    <t>848798025542</t>
  </si>
  <si>
    <t>848798025559</t>
  </si>
  <si>
    <t>848798025566</t>
  </si>
  <si>
    <t>848798025573</t>
  </si>
  <si>
    <t>848798025580</t>
  </si>
  <si>
    <t>848798025597</t>
  </si>
  <si>
    <t>848798025603</t>
  </si>
  <si>
    <t>848798025610</t>
  </si>
  <si>
    <t>848798025627</t>
  </si>
  <si>
    <t>848798025634</t>
  </si>
  <si>
    <t>848798025641</t>
  </si>
  <si>
    <t>848798025658</t>
  </si>
  <si>
    <t>848798025665</t>
  </si>
  <si>
    <t>848798025672</t>
  </si>
  <si>
    <t>848798025689</t>
  </si>
  <si>
    <t>848798025696</t>
  </si>
  <si>
    <t>848798025702</t>
  </si>
  <si>
    <t>848798025719</t>
  </si>
  <si>
    <t>848798025726</t>
  </si>
  <si>
    <t>848798025733</t>
  </si>
  <si>
    <t>848798025740</t>
  </si>
  <si>
    <t>848798025757</t>
  </si>
  <si>
    <t>848798025764</t>
  </si>
  <si>
    <t>848798025771</t>
  </si>
  <si>
    <t>848798025788</t>
  </si>
  <si>
    <t>848798025795</t>
  </si>
  <si>
    <t>848798025801</t>
  </si>
  <si>
    <t>848798025818</t>
  </si>
  <si>
    <t>848798025825</t>
  </si>
  <si>
    <t>848798025832</t>
  </si>
  <si>
    <t>848798025849</t>
  </si>
  <si>
    <t>848798025856</t>
  </si>
  <si>
    <t>848798025863</t>
  </si>
  <si>
    <t>848798025870</t>
  </si>
  <si>
    <t>848798025887</t>
  </si>
  <si>
    <t>848798025894</t>
  </si>
  <si>
    <t>848798025900</t>
  </si>
  <si>
    <t>848798025917</t>
  </si>
  <si>
    <t>848798025924</t>
  </si>
  <si>
    <t>848798025931</t>
  </si>
  <si>
    <t>848798025948</t>
  </si>
  <si>
    <t>848798025955</t>
  </si>
  <si>
    <t>848798025962</t>
  </si>
  <si>
    <t>848798025979</t>
  </si>
  <si>
    <t>848798025986</t>
  </si>
  <si>
    <t>848798025993</t>
  </si>
  <si>
    <t>848798026006</t>
  </si>
  <si>
    <t>848798026013</t>
  </si>
  <si>
    <t>848798026020</t>
  </si>
  <si>
    <t>848798026037</t>
  </si>
  <si>
    <t>848798026044</t>
  </si>
  <si>
    <t>848798026051</t>
  </si>
  <si>
    <t>848798026068</t>
  </si>
  <si>
    <t>848798026075</t>
  </si>
  <si>
    <t>848798026082</t>
  </si>
  <si>
    <t>848798026099</t>
  </si>
  <si>
    <t>848798026105</t>
  </si>
  <si>
    <t>848798026112</t>
  </si>
  <si>
    <t>848798026129</t>
  </si>
  <si>
    <t>848798026136</t>
  </si>
  <si>
    <t>848798026143</t>
  </si>
  <si>
    <t>848798026150</t>
  </si>
  <si>
    <t>848798026167</t>
  </si>
  <si>
    <t>848798026174</t>
  </si>
  <si>
    <t>848798026181</t>
  </si>
  <si>
    <t>848798026198</t>
  </si>
  <si>
    <t>848798026204</t>
  </si>
  <si>
    <t>848798026211</t>
  </si>
  <si>
    <t>848798026228</t>
  </si>
  <si>
    <t>848798026235</t>
  </si>
  <si>
    <t>848798026242</t>
  </si>
  <si>
    <t>848798026259</t>
  </si>
  <si>
    <t>848798026266</t>
  </si>
  <si>
    <t>848798026273</t>
  </si>
  <si>
    <t>848798026280</t>
  </si>
  <si>
    <t>848798026297</t>
  </si>
  <si>
    <t>848798026303</t>
  </si>
  <si>
    <t>848798026310</t>
  </si>
  <si>
    <t>848798026327</t>
  </si>
  <si>
    <t>848798026334</t>
  </si>
  <si>
    <t>848798026341</t>
  </si>
  <si>
    <t>848798026358</t>
  </si>
  <si>
    <t>848798026365</t>
  </si>
  <si>
    <t>848798026372</t>
  </si>
  <si>
    <t>848798026389</t>
  </si>
  <si>
    <t>848798026396</t>
  </si>
  <si>
    <t>848798026402</t>
  </si>
  <si>
    <t>848798026419</t>
  </si>
  <si>
    <t>848798026426</t>
  </si>
  <si>
    <t>848798026433</t>
  </si>
  <si>
    <t>848798026440</t>
  </si>
  <si>
    <t>848798026457</t>
  </si>
  <si>
    <t>848798026464</t>
  </si>
  <si>
    <t>848798026471</t>
  </si>
  <si>
    <t>848798026488</t>
  </si>
  <si>
    <t>848798026495</t>
  </si>
  <si>
    <t>848798026501</t>
  </si>
  <si>
    <t>848798026518</t>
  </si>
  <si>
    <t>848798026525</t>
  </si>
  <si>
    <t>848798026532</t>
  </si>
  <si>
    <t>848798026549</t>
  </si>
  <si>
    <t>848798026556</t>
  </si>
  <si>
    <t>848798026563</t>
  </si>
  <si>
    <t>848798026570</t>
  </si>
  <si>
    <t>848798026587</t>
  </si>
  <si>
    <t>848798026594</t>
  </si>
  <si>
    <t>848798026600</t>
  </si>
  <si>
    <t>848798026617</t>
  </si>
  <si>
    <t>848798010319</t>
  </si>
  <si>
    <t>848798010326</t>
  </si>
  <si>
    <t>848798012603</t>
  </si>
  <si>
    <t>848798012610</t>
  </si>
  <si>
    <t>ALPINE ASSY, FLOW INDICATOR &amp; CHECK VALVE ASSY</t>
  </si>
  <si>
    <t>848798026631</t>
  </si>
  <si>
    <t>848798026938</t>
  </si>
  <si>
    <t>848798026945</t>
  </si>
  <si>
    <t>848798010609</t>
  </si>
  <si>
    <t>848798010616</t>
  </si>
  <si>
    <t>848798027041</t>
  </si>
  <si>
    <t>848798027249</t>
  </si>
  <si>
    <t>848798027256</t>
  </si>
  <si>
    <t>848798027591</t>
  </si>
  <si>
    <t>848798027607</t>
  </si>
  <si>
    <t>848798027614</t>
  </si>
  <si>
    <t>848798027621</t>
  </si>
  <si>
    <t>848798027638</t>
  </si>
  <si>
    <t>848798027645</t>
  </si>
  <si>
    <t>848798027652</t>
  </si>
  <si>
    <t>848798027669</t>
  </si>
  <si>
    <t>848798027676</t>
  </si>
  <si>
    <t>848798027683</t>
  </si>
  <si>
    <t>848798027690</t>
  </si>
  <si>
    <t>848798027706</t>
  </si>
  <si>
    <t>848798027713</t>
  </si>
  <si>
    <t>848798027720</t>
  </si>
  <si>
    <t>848798027737</t>
  </si>
  <si>
    <t>848798027744</t>
  </si>
  <si>
    <t>848798027751</t>
  </si>
  <si>
    <t>848798027768</t>
  </si>
  <si>
    <t>848798027775</t>
  </si>
  <si>
    <t>848798027782</t>
  </si>
  <si>
    <t>848798027799</t>
  </si>
  <si>
    <t>848798027805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</si>
</sst>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_(&quot;$&quot;* \(#,##0.00\);_(&quot;$&quot;* &quot;-&quot;??_);_(@_)"/>
    <numFmt numFmtId="165" formatCode="0.00000"/>
    <numFmt numFmtId="166" formatCode="0.0000"/>
    <numFmt numFmtId="167" formatCode="0.000"/>
    <numFmt numFmtId="168" formatCode="0.000\ &quot;us gpm&quot;"/>
    <numFmt numFmtId="169" formatCode="0.000\ &quot;l/min&quot;"/>
    <numFmt numFmtId="170" formatCode="0.00\ &quot;us gpm [Converted with density]&quot;"/>
    <numFmt numFmtId="171" formatCode="0.000\ &quot;L/min [Converted with density]&quot;"/>
    <numFmt numFmtId="172" formatCode="0.0"/>
    <numFmt numFmtId="173" formatCode="_(&quot;$&quot;* #,##0.000_);_(&quot;$&quot;* \(#,##0.000\);_(&quot;$&quot;* &quot;-&quot;??_);_(@_)"/>
    <numFmt numFmtId="174" formatCode="0%\ &quot;Disc.&quot;"/>
    <numFmt numFmtId="175" formatCode="0.0\ &quot;BAR&quot;"/>
    <numFmt numFmtId="176" formatCode="0\ &quot;PSI&quot;"/>
    <numFmt numFmtId="177" formatCode="0.00\ &quot;us gpm&quot;"/>
    <numFmt numFmtId="178" formatCode="0.00_)"/>
    <numFmt numFmtId="179" formatCode="0.0%"/>
    <numFmt numFmtId="180" formatCode="0.000_)"/>
    <numFmt numFmtId="181" formatCode="&quot;$&quot;#,##0.00"/>
  </numFmts>
  <fonts count="42">
    <font>
      <sz val="11"/>
      <color theme="1"/>
      <name val="Calibri"/>
      <family val="2"/>
      <scheme val="minor"/>
    </font>
    <font>
      <sz val="8"/>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24"/>
      <color theme="1"/>
      <name val="Calibri"/>
      <family val="2"/>
      <scheme val="minor"/>
    </font>
    <font>
      <sz val="26"/>
      <color theme="1"/>
      <name val="Calibri"/>
      <family val="2"/>
      <scheme val="minor"/>
    </font>
    <font>
      <b/>
      <sz val="16"/>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0"/>
      <name val="Arial"/>
      <family val="2"/>
    </font>
    <font>
      <sz val="10"/>
      <name val="Geneva"/>
    </font>
    <font>
      <b/>
      <sz val="14"/>
      <color theme="1"/>
      <name val="Calibri"/>
      <family val="2"/>
      <scheme val="minor"/>
    </font>
    <font>
      <b/>
      <sz val="11"/>
      <color theme="0"/>
      <name val="Calibri"/>
      <family val="2"/>
      <scheme val="minor"/>
    </font>
    <font>
      <b/>
      <sz val="12"/>
      <color theme="1"/>
      <name val="Calibri"/>
      <family val="2"/>
      <scheme val="minor"/>
    </font>
    <font>
      <sz val="16"/>
      <color theme="1"/>
      <name val="Calibri"/>
      <family val="2"/>
      <scheme val="minor"/>
    </font>
    <font>
      <b/>
      <sz val="8"/>
      <name val="Arial"/>
      <family val="2"/>
    </font>
    <font>
      <b/>
      <sz val="8"/>
      <color theme="0" tint="-0.14999847407452621"/>
      <name val="Arial"/>
      <family val="2"/>
    </font>
    <font>
      <sz val="11"/>
      <color rgb="FFFFC000"/>
      <name val="Calibri"/>
      <family val="2"/>
      <scheme val="minor"/>
    </font>
    <font>
      <sz val="8"/>
      <name val="Helvetica 45 Light"/>
      <family val="2"/>
    </font>
    <font>
      <b/>
      <sz val="8"/>
      <name val="Helvetica 45 Light"/>
      <family val="2"/>
    </font>
    <font>
      <sz val="8"/>
      <color indexed="9"/>
      <name val="Helvetica 45 Light"/>
      <family val="2"/>
    </font>
    <font>
      <b/>
      <sz val="8"/>
      <color theme="0"/>
      <name val="Helvetica 45 Light"/>
      <family val="2"/>
    </font>
    <font>
      <sz val="8"/>
      <color theme="0"/>
      <name val="Helvetica 45 Light"/>
      <family val="2"/>
    </font>
    <font>
      <b/>
      <sz val="8"/>
      <name val="Helvetica 55 Roman"/>
      <family val="2"/>
    </font>
    <font>
      <b/>
      <sz val="8"/>
      <color indexed="9"/>
      <name val="Helvetica 45 Light"/>
      <family val="2"/>
    </font>
    <font>
      <b/>
      <sz val="12"/>
      <name val="Helvetica 45 Light"/>
      <family val="2"/>
    </font>
    <font>
      <b/>
      <sz val="10"/>
      <color rgb="FF000000"/>
      <name val="Helvetica 65 Medium"/>
      <family val="2"/>
    </font>
    <font>
      <sz val="12"/>
      <color theme="1"/>
      <name val="Calibri"/>
      <family val="2"/>
      <scheme val="minor"/>
    </font>
    <font>
      <sz val="10"/>
      <color theme="1"/>
      <name val="Arial"/>
      <family val="2"/>
    </font>
    <font>
      <sz val="10"/>
      <color rgb="FF000000"/>
      <name val="Arial"/>
      <family val="2"/>
    </font>
    <font>
      <b/>
      <sz val="14"/>
      <color theme="1"/>
      <name val="Arial"/>
      <family val="2"/>
    </font>
    <font>
      <b/>
      <sz val="10"/>
      <color theme="1"/>
      <name val="Arial"/>
      <family val="2"/>
    </font>
    <font>
      <sz val="11"/>
      <color indexed="8"/>
      <name val="Calibri"/>
      <family val="2"/>
    </font>
    <font>
      <b/>
      <sz val="10"/>
      <color indexed="8"/>
      <name val="Arial"/>
      <family val="2"/>
    </font>
    <font>
      <sz val="10"/>
      <color indexed="8"/>
      <name val="Arial"/>
      <family val="2"/>
    </font>
    <font>
      <b/>
      <sz val="10"/>
      <color rgb="FF000000"/>
      <name val="Arial"/>
      <family val="2"/>
    </font>
    <font>
      <sz val="10"/>
      <color rgb="FFFF0000"/>
      <name val="Arial"/>
      <family val="2"/>
    </font>
    <font>
      <sz val="10"/>
      <color rgb="FFE36C09"/>
      <name val="Arial"/>
      <family val="2"/>
    </font>
  </fonts>
  <fills count="5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indexed="45"/>
        <bgColor indexed="64"/>
      </patternFill>
    </fill>
    <fill>
      <patternFill patternType="solid">
        <fgColor indexed="52"/>
        <bgColor indexed="64"/>
      </patternFill>
    </fill>
    <fill>
      <patternFill patternType="solid">
        <fgColor indexed="57"/>
        <bgColor indexed="64"/>
      </patternFill>
    </fill>
    <fill>
      <patternFill patternType="solid">
        <fgColor indexed="51"/>
        <bgColor indexed="64"/>
      </patternFill>
    </fill>
    <fill>
      <patternFill patternType="solid">
        <fgColor indexed="46"/>
        <bgColor indexed="64"/>
      </patternFill>
    </fill>
    <fill>
      <patternFill patternType="solid">
        <fgColor indexed="48"/>
        <bgColor indexed="64"/>
      </patternFill>
    </fill>
    <fill>
      <patternFill patternType="solid">
        <fgColor indexed="10"/>
        <bgColor indexed="64"/>
      </patternFill>
    </fill>
    <fill>
      <patternFill patternType="solid">
        <fgColor indexed="60"/>
        <bgColor indexed="64"/>
      </patternFill>
    </fill>
    <fill>
      <patternFill patternType="solid">
        <fgColor indexed="22"/>
        <bgColor indexed="64"/>
      </patternFill>
    </fill>
    <fill>
      <patternFill patternType="solid">
        <fgColor indexed="44"/>
        <bgColor indexed="64"/>
      </patternFill>
    </fill>
    <fill>
      <patternFill patternType="solid">
        <fgColor indexed="21"/>
        <bgColor indexed="64"/>
      </patternFill>
    </fill>
    <fill>
      <patternFill patternType="solid">
        <fgColor indexed="50"/>
        <bgColor indexed="64"/>
      </patternFill>
    </fill>
    <fill>
      <patternFill patternType="solid">
        <fgColor indexed="47"/>
        <bgColor indexed="64"/>
      </patternFill>
    </fill>
    <fill>
      <patternFill patternType="solid">
        <fgColor indexed="63"/>
        <bgColor indexed="64"/>
      </patternFill>
    </fill>
    <fill>
      <patternFill patternType="solid">
        <fgColor theme="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rgb="FFF2B508"/>
        <bgColor indexed="64"/>
      </patternFill>
    </fill>
    <fill>
      <patternFill patternType="solid">
        <fgColor rgb="FF009999"/>
        <bgColor indexed="64"/>
      </patternFill>
    </fill>
    <fill>
      <patternFill patternType="solid">
        <fgColor theme="0" tint="-0.249977111117893"/>
        <bgColor indexed="64"/>
      </patternFill>
    </fill>
    <fill>
      <patternFill patternType="solid">
        <fgColor rgb="FFA50021"/>
        <bgColor indexed="64"/>
      </patternFill>
    </fill>
    <fill>
      <patternFill patternType="solid">
        <fgColor rgb="FF663300"/>
        <bgColor indexed="64"/>
      </patternFill>
    </fill>
    <fill>
      <patternFill patternType="solid">
        <fgColor rgb="FF002060"/>
        <bgColor indexed="64"/>
      </patternFill>
    </fill>
    <fill>
      <patternFill patternType="solid">
        <fgColor rgb="FF9933FF"/>
        <bgColor indexed="64"/>
      </patternFill>
    </fill>
    <fill>
      <patternFill patternType="solid">
        <fgColor rgb="FFC00000"/>
        <bgColor indexed="64"/>
      </patternFill>
    </fill>
    <fill>
      <patternFill patternType="solid">
        <fgColor theme="9" tint="-0.249977111117893"/>
        <bgColor indexed="64"/>
      </patternFill>
    </fill>
    <fill>
      <patternFill patternType="solid">
        <fgColor rgb="FFFB6E05"/>
        <bgColor indexed="64"/>
      </patternFill>
    </fill>
    <fill>
      <patternFill patternType="solid">
        <fgColor rgb="FFF5862B"/>
        <bgColor indexed="64"/>
      </patternFill>
    </fill>
    <fill>
      <patternFill patternType="solid">
        <fgColor rgb="FFFF33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00"/>
        <bgColor rgb="FFFFFF00"/>
      </patternFill>
    </fill>
    <fill>
      <patternFill patternType="solid">
        <fgColor rgb="FF00B0F0"/>
        <bgColor rgb="FF00B0F0"/>
      </patternFill>
    </fill>
    <fill>
      <patternFill patternType="solid">
        <fgColor rgb="FF92D050"/>
        <bgColor rgb="FF00B0F0"/>
      </patternFill>
    </fill>
    <fill>
      <patternFill patternType="solid">
        <fgColor rgb="FFFFFF00"/>
        <bgColor rgb="FF00B0F0"/>
      </patternFill>
    </fill>
    <fill>
      <patternFill patternType="solid">
        <fgColor rgb="FF92D050"/>
        <bgColor rgb="FF92D050"/>
      </patternFill>
    </fill>
    <fill>
      <patternFill patternType="solid">
        <fgColor rgb="FFFFFF00"/>
        <bgColor rgb="FF92D050"/>
      </patternFill>
    </fill>
    <fill>
      <patternFill patternType="solid">
        <fgColor rgb="FFC00000"/>
        <bgColor rgb="FFC00000"/>
      </patternFill>
    </fill>
    <fill>
      <patternFill patternType="solid">
        <fgColor theme="4" tint="0.59999389629810485"/>
        <bgColor indexed="64"/>
      </patternFill>
    </fill>
    <fill>
      <patternFill patternType="solid">
        <fgColor theme="0"/>
        <bgColor theme="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9">
    <xf numFmtId="0" fontId="0" fillId="0" borderId="0"/>
    <xf numFmtId="164" fontId="5" fillId="0" borderId="0" applyFont="0" applyFill="0" applyBorder="0" applyAlignment="0" applyProtection="0"/>
    <xf numFmtId="9" fontId="5"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9" fontId="14" fillId="0" borderId="0" applyFont="0" applyFill="0" applyBorder="0" applyAlignment="0" applyProtection="0"/>
    <xf numFmtId="0" fontId="5" fillId="0" borderId="0"/>
    <xf numFmtId="0" fontId="36" fillId="0" borderId="0"/>
  </cellStyleXfs>
  <cellXfs count="754">
    <xf numFmtId="0" fontId="0" fillId="0" borderId="0" xfId="0"/>
    <xf numFmtId="0" fontId="0" fillId="0" borderId="1" xfId="0" applyBorder="1" applyAlignment="1">
      <alignment horizontal="center" vertical="center"/>
    </xf>
    <xf numFmtId="0" fontId="0" fillId="0" borderId="12" xfId="0" applyBorder="1" applyAlignment="1">
      <alignment horizontal="center" vertical="center" wrapText="1"/>
    </xf>
    <xf numFmtId="167" fontId="0" fillId="0" borderId="0" xfId="0" applyNumberFormat="1"/>
    <xf numFmtId="1" fontId="0" fillId="0" borderId="0" xfId="0" applyNumberFormat="1"/>
    <xf numFmtId="0" fontId="0" fillId="0" borderId="0" xfId="0" applyFill="1" applyBorder="1" applyAlignment="1">
      <alignment horizontal="center" vertical="center"/>
    </xf>
    <xf numFmtId="0" fontId="0" fillId="0" borderId="0" xfId="0" applyAlignment="1">
      <alignment horizontal="right"/>
    </xf>
    <xf numFmtId="167" fontId="0" fillId="0" borderId="0" xfId="0" applyNumberFormat="1" applyBorder="1" applyAlignment="1">
      <alignment horizontal="center" vertical="center"/>
    </xf>
    <xf numFmtId="0" fontId="0" fillId="0" borderId="0" xfId="0" applyProtection="1"/>
    <xf numFmtId="0" fontId="0" fillId="0" borderId="0" xfId="0" applyFill="1" applyBorder="1" applyProtection="1"/>
    <xf numFmtId="0" fontId="0" fillId="0" borderId="0" xfId="0" applyBorder="1" applyProtection="1"/>
    <xf numFmtId="165" fontId="0" fillId="0" borderId="0" xfId="0" applyNumberFormat="1" applyProtection="1"/>
    <xf numFmtId="0" fontId="0" fillId="0" borderId="0" xfId="0" applyAlignment="1" applyProtection="1"/>
    <xf numFmtId="167" fontId="3" fillId="0" borderId="0" xfId="0" applyNumberFormat="1" applyFont="1" applyBorder="1" applyProtection="1"/>
    <xf numFmtId="0" fontId="0" fillId="3" borderId="0" xfId="0" applyFill="1" applyProtection="1"/>
    <xf numFmtId="0" fontId="0" fillId="3" borderId="0" xfId="0" applyFill="1" applyBorder="1" applyProtection="1"/>
    <xf numFmtId="167" fontId="3" fillId="3" borderId="0" xfId="0" applyNumberFormat="1" applyFont="1" applyFill="1" applyBorder="1" applyProtection="1"/>
    <xf numFmtId="0" fontId="0" fillId="3" borderId="0" xfId="0" applyFill="1" applyBorder="1" applyAlignment="1" applyProtection="1">
      <alignment horizontal="center"/>
    </xf>
    <xf numFmtId="0" fontId="0" fillId="3" borderId="0" xfId="0" applyFill="1" applyBorder="1" applyAlignment="1" applyProtection="1"/>
    <xf numFmtId="0" fontId="0" fillId="3" borderId="0" xfId="0" applyFill="1" applyAlignment="1" applyProtection="1">
      <alignment horizontal="center" vertical="center"/>
    </xf>
    <xf numFmtId="0" fontId="0" fillId="3" borderId="0" xfId="0" applyFill="1" applyAlignment="1" applyProtection="1"/>
    <xf numFmtId="0" fontId="10" fillId="3" borderId="0" xfId="0" applyFont="1" applyFill="1" applyProtection="1"/>
    <xf numFmtId="0" fontId="10" fillId="3" borderId="0" xfId="0" applyFont="1" applyFill="1" applyAlignment="1" applyProtection="1"/>
    <xf numFmtId="174" fontId="10" fillId="3" borderId="0" xfId="2" applyNumberFormat="1" applyFont="1" applyFill="1" applyAlignment="1" applyProtection="1">
      <alignment horizontal="center" vertical="center"/>
    </xf>
    <xf numFmtId="0" fontId="10" fillId="3" borderId="0" xfId="0" applyFont="1" applyFill="1" applyAlignment="1" applyProtection="1">
      <alignment horizontal="center" vertical="center"/>
    </xf>
    <xf numFmtId="164" fontId="0" fillId="3" borderId="0" xfId="0" applyNumberFormat="1" applyFill="1" applyAlignment="1" applyProtection="1"/>
    <xf numFmtId="173" fontId="11" fillId="3" borderId="0" xfId="1" applyNumberFormat="1" applyFont="1" applyFill="1" applyAlignment="1" applyProtection="1">
      <alignment horizontal="center" vertical="center"/>
    </xf>
    <xf numFmtId="1" fontId="10" fillId="3" borderId="0" xfId="0" applyNumberFormat="1" applyFont="1" applyFill="1" applyAlignment="1" applyProtection="1">
      <alignment horizontal="center" vertical="center"/>
    </xf>
    <xf numFmtId="173" fontId="10" fillId="3" borderId="0" xfId="1" applyNumberFormat="1" applyFont="1" applyFill="1" applyAlignment="1" applyProtection="1">
      <alignment horizontal="center" vertical="center"/>
    </xf>
    <xf numFmtId="0" fontId="0" fillId="3" borderId="0" xfId="0" applyNumberFormat="1" applyFill="1" applyAlignment="1" applyProtection="1">
      <alignment horizontal="left" vertical="top"/>
    </xf>
    <xf numFmtId="164" fontId="0" fillId="3" borderId="8" xfId="0" applyNumberFormat="1" applyFill="1" applyBorder="1" applyAlignment="1" applyProtection="1"/>
    <xf numFmtId="0" fontId="0" fillId="3" borderId="0" xfId="0" applyFill="1" applyAlignment="1" applyProtection="1">
      <alignment horizontal="left"/>
    </xf>
    <xf numFmtId="0" fontId="0" fillId="3" borderId="23" xfId="0" applyFill="1" applyBorder="1" applyAlignment="1" applyProtection="1">
      <alignment horizontal="left"/>
    </xf>
    <xf numFmtId="164" fontId="0" fillId="3" borderId="23" xfId="0" applyNumberFormat="1" applyFill="1" applyBorder="1" applyProtection="1"/>
    <xf numFmtId="170" fontId="0" fillId="0" borderId="0" xfId="0" applyNumberFormat="1" applyBorder="1" applyAlignment="1" applyProtection="1">
      <alignment horizontal="center"/>
    </xf>
    <xf numFmtId="0" fontId="0" fillId="0" borderId="0" xfId="0" applyBorder="1" applyAlignment="1" applyProtection="1">
      <alignment horizontal="center"/>
    </xf>
    <xf numFmtId="0" fontId="0" fillId="3" borderId="25" xfId="0" applyFill="1" applyBorder="1" applyAlignment="1" applyProtection="1">
      <alignment horizontal="center" vertical="center"/>
    </xf>
    <xf numFmtId="172" fontId="0" fillId="3" borderId="25" xfId="0" applyNumberFormat="1" applyFill="1" applyBorder="1" applyAlignment="1" applyProtection="1">
      <alignment horizontal="center" vertical="center"/>
    </xf>
    <xf numFmtId="172" fontId="0" fillId="3" borderId="4" xfId="0" applyNumberFormat="1" applyFill="1" applyBorder="1" applyAlignment="1" applyProtection="1">
      <alignment horizontal="center" vertical="center"/>
    </xf>
    <xf numFmtId="0" fontId="0" fillId="3" borderId="1" xfId="0" applyFill="1" applyBorder="1" applyAlignment="1" applyProtection="1">
      <alignment horizontal="center" vertical="center"/>
      <protection locked="0"/>
    </xf>
    <xf numFmtId="0" fontId="10" fillId="3" borderId="6" xfId="0" applyFont="1" applyFill="1" applyBorder="1" applyAlignment="1" applyProtection="1">
      <alignment horizontal="center" vertical="center"/>
    </xf>
    <xf numFmtId="173" fontId="11" fillId="3" borderId="6" xfId="1" applyNumberFormat="1" applyFont="1" applyFill="1" applyBorder="1" applyAlignment="1" applyProtection="1">
      <alignment horizontal="center" vertical="center"/>
    </xf>
    <xf numFmtId="164" fontId="0" fillId="3" borderId="6" xfId="0" applyNumberFormat="1" applyFill="1" applyBorder="1" applyAlignment="1" applyProtection="1"/>
    <xf numFmtId="1" fontId="10" fillId="3" borderId="6" xfId="0" applyNumberFormat="1" applyFont="1" applyFill="1" applyBorder="1" applyAlignment="1" applyProtection="1">
      <alignment horizontal="center" vertical="center"/>
    </xf>
    <xf numFmtId="0" fontId="10" fillId="3" borderId="6" xfId="0" applyFont="1" applyFill="1" applyBorder="1" applyProtection="1"/>
    <xf numFmtId="173" fontId="10" fillId="3" borderId="6" xfId="1" applyNumberFormat="1" applyFont="1" applyFill="1" applyBorder="1" applyAlignment="1" applyProtection="1">
      <alignment horizontal="center" vertical="center"/>
    </xf>
    <xf numFmtId="164" fontId="0" fillId="3" borderId="0" xfId="0" applyNumberFormat="1" applyFill="1" applyBorder="1" applyAlignment="1" applyProtection="1"/>
    <xf numFmtId="0" fontId="10" fillId="3" borderId="0" xfId="0" applyFont="1" applyFill="1" applyBorder="1" applyAlignment="1" applyProtection="1">
      <alignment horizontal="center" vertical="center"/>
    </xf>
    <xf numFmtId="0" fontId="0" fillId="3" borderId="6" xfId="0" applyFill="1" applyBorder="1" applyProtection="1"/>
    <xf numFmtId="173" fontId="11" fillId="3" borderId="24" xfId="1" applyNumberFormat="1" applyFont="1" applyFill="1" applyBorder="1" applyAlignment="1" applyProtection="1">
      <alignment horizontal="center" vertical="center"/>
    </xf>
    <xf numFmtId="164" fontId="0" fillId="3" borderId="24" xfId="0" applyNumberFormat="1" applyFill="1" applyBorder="1" applyAlignment="1" applyProtection="1"/>
    <xf numFmtId="0" fontId="10" fillId="3" borderId="0" xfId="0" applyFont="1" applyFill="1" applyBorder="1" applyProtection="1"/>
    <xf numFmtId="0" fontId="10" fillId="3" borderId="0" xfId="0" applyFont="1" applyFill="1" applyBorder="1" applyAlignment="1" applyProtection="1">
      <alignment horizontal="left"/>
    </xf>
    <xf numFmtId="173" fontId="10" fillId="3" borderId="0" xfId="1" applyNumberFormat="1" applyFont="1" applyFill="1" applyBorder="1" applyAlignment="1" applyProtection="1">
      <alignment horizontal="center" vertical="center"/>
    </xf>
    <xf numFmtId="0" fontId="10" fillId="3" borderId="24" xfId="0" applyFont="1" applyFill="1" applyBorder="1" applyProtection="1"/>
    <xf numFmtId="0" fontId="10" fillId="3" borderId="24" xfId="0" applyFont="1" applyFill="1" applyBorder="1" applyAlignment="1" applyProtection="1">
      <alignment horizontal="left"/>
    </xf>
    <xf numFmtId="173" fontId="10" fillId="3" borderId="24" xfId="1" applyNumberFormat="1" applyFont="1" applyFill="1" applyBorder="1" applyAlignment="1" applyProtection="1">
      <alignment horizontal="center" vertical="center"/>
    </xf>
    <xf numFmtId="174" fontId="10" fillId="3" borderId="24" xfId="2" applyNumberFormat="1" applyFont="1" applyFill="1" applyBorder="1" applyAlignment="1" applyProtection="1">
      <alignment horizontal="center" vertical="center"/>
    </xf>
    <xf numFmtId="173" fontId="10" fillId="3" borderId="8" xfId="1" applyNumberFormat="1" applyFont="1" applyFill="1" applyBorder="1" applyAlignment="1" applyProtection="1">
      <alignment horizontal="center" vertical="center"/>
    </xf>
    <xf numFmtId="164" fontId="11" fillId="3" borderId="6" xfId="1" applyNumberFormat="1" applyFont="1" applyFill="1" applyBorder="1" applyAlignment="1" applyProtection="1">
      <alignment horizontal="left" vertical="top"/>
    </xf>
    <xf numFmtId="164" fontId="11" fillId="3" borderId="0" xfId="1" applyNumberFormat="1" applyFont="1" applyFill="1" applyAlignment="1" applyProtection="1">
      <alignment horizontal="center" vertical="center"/>
    </xf>
    <xf numFmtId="0" fontId="8" fillId="3" borderId="0" xfId="0" applyFont="1" applyFill="1" applyProtection="1"/>
    <xf numFmtId="0" fontId="0" fillId="3" borderId="1" xfId="0" applyFill="1" applyBorder="1" applyAlignment="1" applyProtection="1"/>
    <xf numFmtId="0" fontId="3" fillId="3" borderId="0" xfId="0" applyFont="1" applyFill="1" applyBorder="1" applyAlignment="1" applyProtection="1"/>
    <xf numFmtId="0" fontId="6" fillId="3" borderId="1" xfId="0" applyFont="1" applyFill="1" applyBorder="1" applyProtection="1"/>
    <xf numFmtId="0" fontId="6" fillId="3" borderId="1" xfId="0" applyFont="1" applyFill="1" applyBorder="1" applyAlignment="1" applyProtection="1"/>
    <xf numFmtId="168" fontId="6" fillId="3" borderId="1" xfId="0" applyNumberFormat="1" applyFont="1" applyFill="1" applyBorder="1" applyAlignment="1" applyProtection="1"/>
    <xf numFmtId="169" fontId="6" fillId="3" borderId="1" xfId="0" applyNumberFormat="1" applyFont="1" applyFill="1" applyBorder="1" applyAlignment="1" applyProtection="1"/>
    <xf numFmtId="170" fontId="0" fillId="3" borderId="0" xfId="0" applyNumberFormat="1" applyFill="1" applyBorder="1" applyAlignment="1" applyProtection="1">
      <alignment horizontal="center"/>
    </xf>
    <xf numFmtId="0" fontId="6" fillId="3" borderId="0" xfId="0" applyFont="1" applyFill="1" applyProtection="1"/>
    <xf numFmtId="0" fontId="0" fillId="3" borderId="0" xfId="0"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0" fillId="3" borderId="1" xfId="0" applyFill="1" applyBorder="1" applyProtection="1"/>
    <xf numFmtId="168" fontId="4" fillId="3" borderId="1" xfId="0" applyNumberFormat="1" applyFont="1" applyFill="1" applyBorder="1" applyAlignment="1" applyProtection="1"/>
    <xf numFmtId="169" fontId="4" fillId="3" borderId="1" xfId="0" applyNumberFormat="1" applyFont="1" applyFill="1" applyBorder="1" applyAlignment="1" applyProtection="1"/>
    <xf numFmtId="0" fontId="0" fillId="3" borderId="1" xfId="0"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Protection="1"/>
    <xf numFmtId="0" fontId="17" fillId="3" borderId="1" xfId="0" applyFont="1" applyFill="1" applyBorder="1" applyAlignment="1" applyProtection="1">
      <alignment horizontal="center" vertical="center" wrapText="1"/>
    </xf>
    <xf numFmtId="164" fontId="0" fillId="2" borderId="6" xfId="0" applyNumberFormat="1" applyFill="1" applyBorder="1" applyAlignment="1" applyProtection="1"/>
    <xf numFmtId="164" fontId="0" fillId="2" borderId="24" xfId="0" applyNumberFormat="1" applyFill="1" applyBorder="1" applyAlignment="1" applyProtection="1"/>
    <xf numFmtId="164" fontId="0" fillId="2" borderId="8" xfId="0" applyNumberFormat="1" applyFill="1" applyBorder="1" applyAlignment="1" applyProtection="1"/>
    <xf numFmtId="0" fontId="10" fillId="3" borderId="6" xfId="0" applyFont="1" applyFill="1" applyBorder="1" applyAlignment="1" applyProtection="1">
      <alignment horizontal="center"/>
    </xf>
    <xf numFmtId="0" fontId="10" fillId="3" borderId="24" xfId="0" applyFont="1" applyFill="1" applyBorder="1" applyAlignment="1" applyProtection="1">
      <alignment horizontal="center"/>
    </xf>
    <xf numFmtId="0" fontId="10" fillId="3" borderId="0" xfId="0" applyFont="1" applyFill="1" applyBorder="1" applyAlignment="1" applyProtection="1">
      <alignment horizontal="center"/>
    </xf>
    <xf numFmtId="0" fontId="3" fillId="3" borderId="0" xfId="0" applyFont="1" applyFill="1" applyBorder="1" applyAlignment="1" applyProtection="1">
      <alignment horizontal="center" wrapText="1"/>
    </xf>
    <xf numFmtId="0" fontId="3" fillId="3" borderId="0"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xf>
    <xf numFmtId="0" fontId="0" fillId="3" borderId="1" xfId="0" applyFill="1" applyBorder="1" applyAlignment="1" applyProtection="1">
      <alignment horizontal="center" vertical="top" wrapText="1"/>
    </xf>
    <xf numFmtId="0" fontId="2" fillId="3" borderId="1" xfId="0" applyFont="1" applyFill="1" applyBorder="1" applyAlignment="1" applyProtection="1">
      <alignment horizontal="center" vertical="top"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11" fillId="3" borderId="0" xfId="0" applyFont="1" applyFill="1" applyAlignment="1" applyProtection="1"/>
    <xf numFmtId="0" fontId="11" fillId="3" borderId="24" xfId="0" applyFont="1" applyFill="1" applyBorder="1" applyAlignment="1" applyProtection="1"/>
    <xf numFmtId="0" fontId="3" fillId="3" borderId="0" xfId="0" applyFont="1" applyFill="1" applyBorder="1" applyAlignment="1" applyProtection="1">
      <alignment vertical="center"/>
    </xf>
    <xf numFmtId="0" fontId="0" fillId="3" borderId="24" xfId="0" applyFill="1" applyBorder="1" applyProtection="1"/>
    <xf numFmtId="0" fontId="3" fillId="0" borderId="0" xfId="0" applyFont="1" applyProtection="1"/>
    <xf numFmtId="0" fontId="6" fillId="0" borderId="0" xfId="0" applyFont="1" applyProtection="1"/>
    <xf numFmtId="167" fontId="3" fillId="0" borderId="0" xfId="0" applyNumberFormat="1" applyFont="1" applyProtection="1"/>
    <xf numFmtId="164" fontId="0" fillId="3" borderId="0" xfId="0" applyNumberFormat="1" applyFill="1" applyProtection="1">
      <protection locked="0"/>
    </xf>
    <xf numFmtId="164" fontId="0" fillId="3" borderId="8" xfId="0" applyNumberFormat="1" applyFill="1" applyBorder="1" applyProtection="1">
      <protection locked="0"/>
    </xf>
    <xf numFmtId="0" fontId="3" fillId="3" borderId="0" xfId="0" applyFont="1" applyFill="1" applyBorder="1" applyAlignment="1" applyProtection="1">
      <alignment wrapText="1"/>
    </xf>
    <xf numFmtId="0" fontId="3" fillId="3" borderId="0" xfId="0" applyFont="1" applyFill="1" applyAlignment="1" applyProtection="1">
      <alignment wrapText="1"/>
    </xf>
    <xf numFmtId="166" fontId="3" fillId="3" borderId="0" xfId="0" applyNumberFormat="1" applyFont="1" applyFill="1" applyBorder="1" applyProtection="1"/>
    <xf numFmtId="165" fontId="3" fillId="3" borderId="0" xfId="0" applyNumberFormat="1" applyFont="1" applyFill="1" applyBorder="1" applyProtection="1"/>
    <xf numFmtId="0" fontId="3" fillId="3" borderId="0" xfId="0" applyFont="1" applyFill="1" applyProtection="1"/>
    <xf numFmtId="165" fontId="16" fillId="3" borderId="0" xfId="0" applyNumberFormat="1" applyFont="1" applyFill="1" applyBorder="1" applyProtection="1"/>
    <xf numFmtId="166" fontId="3" fillId="3" borderId="0" xfId="0" applyNumberFormat="1" applyFont="1" applyFill="1" applyBorder="1" applyAlignment="1" applyProtection="1"/>
    <xf numFmtId="1" fontId="3" fillId="3" borderId="0" xfId="0" applyNumberFormat="1" applyFont="1" applyFill="1" applyBorder="1" applyProtection="1"/>
    <xf numFmtId="0" fontId="0" fillId="3" borderId="10"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0" xfId="0" applyFont="1" applyFill="1" applyBorder="1" applyAlignment="1" applyProtection="1"/>
    <xf numFmtId="167" fontId="6" fillId="3" borderId="0" xfId="0" applyNumberFormat="1" applyFont="1" applyFill="1" applyBorder="1" applyAlignment="1" applyProtection="1"/>
    <xf numFmtId="0" fontId="6" fillId="3" borderId="0" xfId="0" applyFont="1" applyFill="1" applyBorder="1" applyProtection="1"/>
    <xf numFmtId="167" fontId="6" fillId="3" borderId="0" xfId="0" applyNumberFormat="1" applyFont="1" applyFill="1" applyBorder="1" applyProtection="1"/>
    <xf numFmtId="0" fontId="4" fillId="3" borderId="1" xfId="0" applyFont="1" applyFill="1" applyBorder="1" applyProtection="1"/>
    <xf numFmtId="0" fontId="4" fillId="3" borderId="1" xfId="0" applyFont="1" applyFill="1" applyBorder="1" applyAlignment="1" applyProtection="1"/>
    <xf numFmtId="176" fontId="10" fillId="3" borderId="1" xfId="0" applyNumberFormat="1" applyFont="1" applyFill="1" applyBorder="1" applyAlignment="1" applyProtection="1">
      <alignment horizontal="center" vertical="center"/>
    </xf>
    <xf numFmtId="175" fontId="10" fillId="3" borderId="2" xfId="0" applyNumberFormat="1" applyFont="1" applyFill="1" applyBorder="1" applyAlignment="1" applyProtection="1">
      <alignment horizontal="center" vertical="center" wrapText="1"/>
    </xf>
    <xf numFmtId="176" fontId="10" fillId="3" borderId="10" xfId="0" applyNumberFormat="1" applyFont="1" applyFill="1" applyBorder="1" applyAlignment="1" applyProtection="1">
      <alignment horizontal="center" vertical="center"/>
    </xf>
    <xf numFmtId="175" fontId="10" fillId="3" borderId="0" xfId="0" applyNumberFormat="1" applyFont="1" applyFill="1" applyBorder="1" applyAlignment="1" applyProtection="1">
      <alignment horizontal="center" vertical="center" wrapText="1"/>
    </xf>
    <xf numFmtId="0" fontId="0" fillId="2" borderId="0" xfId="0" applyFill="1" applyBorder="1" applyAlignment="1" applyProtection="1">
      <alignment horizontal="left"/>
    </xf>
    <xf numFmtId="0" fontId="9" fillId="2" borderId="0" xfId="0" applyFont="1" applyFill="1" applyBorder="1" applyAlignment="1" applyProtection="1">
      <alignment horizontal="left"/>
    </xf>
    <xf numFmtId="0" fontId="0" fillId="2" borderId="0" xfId="0" applyFill="1" applyProtection="1"/>
    <xf numFmtId="0" fontId="0" fillId="2" borderId="0" xfId="0" applyFill="1" applyBorder="1" applyProtection="1"/>
    <xf numFmtId="0" fontId="4" fillId="3" borderId="0" xfId="0" applyFont="1" applyFill="1" applyProtection="1"/>
    <xf numFmtId="0" fontId="4" fillId="3" borderId="0" xfId="0" applyFont="1" applyFill="1" applyBorder="1" applyAlignment="1" applyProtection="1"/>
    <xf numFmtId="167" fontId="4" fillId="3" borderId="0" xfId="0" applyNumberFormat="1" applyFont="1" applyFill="1" applyBorder="1" applyAlignment="1" applyProtection="1"/>
    <xf numFmtId="0" fontId="4" fillId="3" borderId="0" xfId="0" applyFont="1" applyFill="1" applyBorder="1" applyProtection="1"/>
    <xf numFmtId="167" fontId="4" fillId="3" borderId="0" xfId="0" applyNumberFormat="1" applyFont="1" applyFill="1" applyBorder="1" applyProtection="1"/>
    <xf numFmtId="0" fontId="0" fillId="24" borderId="1" xfId="0" applyFill="1" applyBorder="1" applyAlignment="1" applyProtection="1">
      <alignment horizontal="center" vertical="center" wrapText="1"/>
    </xf>
    <xf numFmtId="0" fontId="0" fillId="24" borderId="2" xfId="0" applyFill="1" applyBorder="1" applyAlignment="1" applyProtection="1">
      <alignment horizontal="center" vertical="center" wrapText="1"/>
    </xf>
    <xf numFmtId="0" fontId="0" fillId="24" borderId="10" xfId="0" applyFill="1" applyBorder="1" applyAlignment="1" applyProtection="1">
      <alignment horizontal="center" vertical="center" wrapText="1"/>
    </xf>
    <xf numFmtId="0" fontId="0" fillId="24" borderId="0" xfId="0" applyFill="1" applyBorder="1" applyAlignment="1" applyProtection="1">
      <alignment horizontal="center" vertical="center" wrapText="1"/>
    </xf>
    <xf numFmtId="176" fontId="10" fillId="24" borderId="1" xfId="0" applyNumberFormat="1" applyFont="1" applyFill="1" applyBorder="1" applyAlignment="1" applyProtection="1">
      <alignment horizontal="center" vertical="center"/>
    </xf>
    <xf numFmtId="175" fontId="10" fillId="24" borderId="2" xfId="0" applyNumberFormat="1" applyFont="1" applyFill="1" applyBorder="1" applyAlignment="1" applyProtection="1">
      <alignment horizontal="center" vertical="center" wrapText="1"/>
    </xf>
    <xf numFmtId="176" fontId="10" fillId="24" borderId="10" xfId="0" applyNumberFormat="1" applyFont="1" applyFill="1" applyBorder="1" applyAlignment="1" applyProtection="1">
      <alignment horizontal="center" vertical="center"/>
    </xf>
    <xf numFmtId="175" fontId="10" fillId="24" borderId="0" xfId="0" applyNumberFormat="1" applyFont="1" applyFill="1" applyBorder="1" applyAlignment="1" applyProtection="1">
      <alignment horizontal="center" vertical="center" wrapText="1"/>
    </xf>
    <xf numFmtId="0" fontId="0" fillId="24" borderId="0" xfId="0" applyFill="1" applyProtection="1"/>
    <xf numFmtId="0" fontId="4" fillId="0" borderId="0" xfId="0" applyFont="1" applyProtection="1"/>
    <xf numFmtId="0" fontId="0" fillId="3" borderId="1" xfId="0"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wrapText="1"/>
    </xf>
    <xf numFmtId="0" fontId="0" fillId="3" borderId="24" xfId="0" applyFill="1" applyBorder="1" applyAlignment="1" applyProtection="1">
      <alignment horizontal="center" vertical="center"/>
    </xf>
    <xf numFmtId="0" fontId="11" fillId="3" borderId="24" xfId="0" applyFont="1" applyFill="1" applyBorder="1" applyAlignment="1" applyProtection="1">
      <alignment horizontal="left"/>
    </xf>
    <xf numFmtId="0" fontId="12" fillId="3" borderId="0" xfId="0" applyFont="1" applyFill="1" applyAlignment="1" applyProtection="1">
      <alignment horizontal="center"/>
    </xf>
    <xf numFmtId="0" fontId="11" fillId="3" borderId="6" xfId="0" applyFont="1" applyFill="1" applyBorder="1" applyAlignment="1" applyProtection="1">
      <alignment horizontal="left"/>
    </xf>
    <xf numFmtId="0" fontId="0" fillId="3" borderId="0" xfId="0" applyFill="1" applyAlignment="1" applyProtection="1">
      <alignment horizontal="right"/>
    </xf>
    <xf numFmtId="0" fontId="10" fillId="3" borderId="24" xfId="0" applyFont="1" applyFill="1" applyBorder="1" applyAlignment="1" applyProtection="1">
      <alignment horizontal="center" vertical="center"/>
    </xf>
    <xf numFmtId="0" fontId="0" fillId="4" borderId="1" xfId="0" applyFill="1" applyBorder="1" applyAlignment="1" applyProtection="1">
      <alignment horizontal="center" vertical="center"/>
      <protection locked="0"/>
    </xf>
    <xf numFmtId="9" fontId="0" fillId="3" borderId="1" xfId="2" applyFont="1" applyFill="1" applyBorder="1" applyProtection="1">
      <protection locked="0"/>
    </xf>
    <xf numFmtId="164" fontId="0" fillId="24" borderId="0" xfId="0" applyNumberFormat="1" applyFill="1" applyProtection="1"/>
    <xf numFmtId="0" fontId="0" fillId="24" borderId="0" xfId="0" applyFill="1" applyAlignment="1" applyProtection="1">
      <alignment horizontal="right"/>
    </xf>
    <xf numFmtId="0" fontId="0" fillId="4" borderId="1" xfId="0" applyFill="1" applyBorder="1" applyAlignment="1" applyProtection="1">
      <alignment horizontal="center" vertical="center"/>
    </xf>
    <xf numFmtId="0" fontId="22" fillId="0" borderId="0" xfId="4" applyFont="1"/>
    <xf numFmtId="0" fontId="23" fillId="0" borderId="0" xfId="4" applyFont="1"/>
    <xf numFmtId="1" fontId="23" fillId="0" borderId="0" xfId="4" applyNumberFormat="1" applyFont="1" applyAlignment="1">
      <alignment horizontal="center"/>
    </xf>
    <xf numFmtId="0" fontId="24" fillId="0" borderId="0" xfId="4" applyFont="1"/>
    <xf numFmtId="0" fontId="23" fillId="27" borderId="0" xfId="4" applyFont="1" applyFill="1"/>
    <xf numFmtId="1" fontId="23" fillId="27" borderId="0" xfId="4" applyNumberFormat="1" applyFont="1" applyFill="1" applyAlignment="1">
      <alignment horizontal="center"/>
    </xf>
    <xf numFmtId="0" fontId="22" fillId="27" borderId="0" xfId="4" applyFont="1" applyFill="1"/>
    <xf numFmtId="1" fontId="23" fillId="27" borderId="0" xfId="4" quotePrefix="1" applyNumberFormat="1" applyFont="1" applyFill="1" applyAlignment="1">
      <alignment horizontal="center"/>
    </xf>
    <xf numFmtId="167" fontId="24" fillId="27" borderId="0" xfId="4" applyNumberFormat="1" applyFont="1" applyFill="1" applyAlignment="1">
      <alignment horizontal="center"/>
    </xf>
    <xf numFmtId="167" fontId="22" fillId="27" borderId="0" xfId="4" applyNumberFormat="1" applyFont="1" applyFill="1" applyAlignment="1">
      <alignment horizontal="center"/>
    </xf>
    <xf numFmtId="1" fontId="23" fillId="28" borderId="31" xfId="4" applyNumberFormat="1" applyFont="1" applyFill="1" applyBorder="1" applyAlignment="1">
      <alignment horizontal="center" vertical="center"/>
    </xf>
    <xf numFmtId="1" fontId="23" fillId="27" borderId="31" xfId="4" applyNumberFormat="1" applyFont="1" applyFill="1" applyBorder="1" applyAlignment="1">
      <alignment horizontal="center" vertical="center"/>
    </xf>
    <xf numFmtId="1" fontId="23" fillId="27" borderId="2" xfId="4" quotePrefix="1" applyNumberFormat="1" applyFont="1" applyFill="1" applyBorder="1" applyAlignment="1">
      <alignment horizontal="center" vertical="center"/>
    </xf>
    <xf numFmtId="1" fontId="23" fillId="28" borderId="1" xfId="4" quotePrefix="1" applyNumberFormat="1" applyFont="1" applyFill="1" applyBorder="1" applyAlignment="1">
      <alignment horizontal="center" vertical="center"/>
    </xf>
    <xf numFmtId="1" fontId="23" fillId="27" borderId="1" xfId="4" quotePrefix="1" applyNumberFormat="1" applyFont="1" applyFill="1" applyBorder="1" applyAlignment="1">
      <alignment horizontal="center" vertical="center"/>
    </xf>
    <xf numFmtId="1" fontId="23" fillId="28" borderId="1" xfId="4" applyNumberFormat="1" applyFont="1" applyFill="1" applyBorder="1" applyAlignment="1">
      <alignment horizontal="center" vertical="center"/>
    </xf>
    <xf numFmtId="1" fontId="23" fillId="27" borderId="8" xfId="4" quotePrefix="1" applyNumberFormat="1" applyFont="1" applyFill="1" applyBorder="1" applyAlignment="1">
      <alignment horizontal="center" vertical="center"/>
    </xf>
    <xf numFmtId="167" fontId="24" fillId="3" borderId="1" xfId="4" applyNumberFormat="1" applyFont="1" applyFill="1" applyBorder="1" applyAlignment="1">
      <alignment horizontal="center" vertical="center"/>
    </xf>
    <xf numFmtId="167" fontId="24" fillId="27" borderId="32" xfId="4" applyNumberFormat="1" applyFont="1" applyFill="1" applyBorder="1" applyAlignment="1">
      <alignment horizontal="center" vertical="center"/>
    </xf>
    <xf numFmtId="167" fontId="24" fillId="27" borderId="1" xfId="4" applyNumberFormat="1" applyFont="1" applyFill="1" applyBorder="1" applyAlignment="1">
      <alignment horizontal="center" vertical="center"/>
    </xf>
    <xf numFmtId="2" fontId="23" fillId="29" borderId="33" xfId="4" applyNumberFormat="1" applyFont="1" applyFill="1" applyBorder="1" applyAlignment="1">
      <alignment horizontal="center" vertical="center"/>
    </xf>
    <xf numFmtId="0" fontId="24" fillId="27" borderId="14" xfId="4" applyFont="1" applyFill="1" applyBorder="1" applyAlignment="1">
      <alignment horizontal="center"/>
    </xf>
    <xf numFmtId="1" fontId="23" fillId="28" borderId="21" xfId="4" applyNumberFormat="1" applyFont="1" applyFill="1" applyBorder="1" applyAlignment="1">
      <alignment horizontal="center" vertical="center"/>
    </xf>
    <xf numFmtId="1" fontId="23" fillId="27" borderId="21" xfId="4" applyNumberFormat="1" applyFont="1" applyFill="1" applyBorder="1" applyAlignment="1">
      <alignment horizontal="center" vertical="center"/>
    </xf>
    <xf numFmtId="1" fontId="23" fillId="27" borderId="10" xfId="4" quotePrefix="1" applyNumberFormat="1" applyFont="1" applyFill="1" applyBorder="1" applyAlignment="1">
      <alignment horizontal="center" vertical="center"/>
    </xf>
    <xf numFmtId="1" fontId="23" fillId="28" borderId="9" xfId="4" quotePrefix="1" applyNumberFormat="1" applyFont="1" applyFill="1" applyBorder="1" applyAlignment="1">
      <alignment horizontal="center" vertical="center"/>
    </xf>
    <xf numFmtId="1" fontId="23" fillId="27" borderId="9" xfId="4" quotePrefix="1" applyNumberFormat="1" applyFont="1" applyFill="1" applyBorder="1" applyAlignment="1">
      <alignment horizontal="center" vertical="center"/>
    </xf>
    <xf numFmtId="1" fontId="23" fillId="28" borderId="9" xfId="4" applyNumberFormat="1" applyFont="1" applyFill="1" applyBorder="1" applyAlignment="1">
      <alignment horizontal="center" vertical="center"/>
    </xf>
    <xf numFmtId="1" fontId="23" fillId="27" borderId="0" xfId="4" quotePrefix="1" applyNumberFormat="1" applyFont="1" applyFill="1" applyAlignment="1">
      <alignment horizontal="center" vertical="center"/>
    </xf>
    <xf numFmtId="167" fontId="24" fillId="3" borderId="9" xfId="4" applyNumberFormat="1" applyFont="1" applyFill="1" applyBorder="1" applyAlignment="1">
      <alignment horizontal="center" vertical="center"/>
    </xf>
    <xf numFmtId="167" fontId="24" fillId="27" borderId="34" xfId="4" applyNumberFormat="1" applyFont="1" applyFill="1" applyBorder="1" applyAlignment="1">
      <alignment horizontal="center" vertical="center"/>
    </xf>
    <xf numFmtId="167" fontId="24" fillId="27" borderId="9" xfId="4" applyNumberFormat="1" applyFont="1" applyFill="1" applyBorder="1" applyAlignment="1">
      <alignment horizontal="center" vertical="center"/>
    </xf>
    <xf numFmtId="2" fontId="23" fillId="29" borderId="14" xfId="4" applyNumberFormat="1" applyFont="1" applyFill="1" applyBorder="1" applyAlignment="1">
      <alignment horizontal="center" vertical="center"/>
    </xf>
    <xf numFmtId="1" fontId="23" fillId="28" borderId="35" xfId="4" applyNumberFormat="1" applyFont="1" applyFill="1" applyBorder="1" applyAlignment="1">
      <alignment horizontal="center" vertical="center"/>
    </xf>
    <xf numFmtId="1" fontId="23" fillId="27" borderId="35" xfId="4" applyNumberFormat="1" applyFont="1" applyFill="1" applyBorder="1" applyAlignment="1">
      <alignment horizontal="center" vertical="center"/>
    </xf>
    <xf numFmtId="1" fontId="23" fillId="27" borderId="26" xfId="4" applyNumberFormat="1" applyFont="1" applyFill="1" applyBorder="1" applyAlignment="1">
      <alignment horizontal="center" vertical="center"/>
    </xf>
    <xf numFmtId="1" fontId="23" fillId="28" borderId="29" xfId="4" quotePrefix="1" applyNumberFormat="1" applyFont="1" applyFill="1" applyBorder="1" applyAlignment="1">
      <alignment horizontal="center" vertical="center"/>
    </xf>
    <xf numFmtId="1" fontId="23" fillId="27" borderId="29" xfId="4" quotePrefix="1" applyNumberFormat="1" applyFont="1" applyFill="1" applyBorder="1" applyAlignment="1">
      <alignment horizontal="center" vertical="center"/>
    </xf>
    <xf numFmtId="1" fontId="23" fillId="28" borderId="29" xfId="4" applyNumberFormat="1" applyFont="1" applyFill="1" applyBorder="1" applyAlignment="1">
      <alignment horizontal="center" vertical="center"/>
    </xf>
    <xf numFmtId="1" fontId="23" fillId="27" borderId="24" xfId="4" quotePrefix="1" applyNumberFormat="1" applyFont="1" applyFill="1" applyBorder="1" applyAlignment="1">
      <alignment horizontal="center" vertical="center"/>
    </xf>
    <xf numFmtId="167" fontId="24" fillId="3" borderId="29" xfId="4" applyNumberFormat="1" applyFont="1" applyFill="1" applyBorder="1" applyAlignment="1">
      <alignment horizontal="center" vertical="center"/>
    </xf>
    <xf numFmtId="167" fontId="24" fillId="27" borderId="36" xfId="4" applyNumberFormat="1" applyFont="1" applyFill="1" applyBorder="1" applyAlignment="1">
      <alignment horizontal="center" vertical="center"/>
    </xf>
    <xf numFmtId="167" fontId="24" fillId="27" borderId="29" xfId="4" applyNumberFormat="1" applyFont="1" applyFill="1" applyBorder="1" applyAlignment="1">
      <alignment horizontal="center" vertical="center"/>
    </xf>
    <xf numFmtId="2" fontId="23" fillId="29" borderId="37" xfId="4" applyNumberFormat="1" applyFont="1" applyFill="1" applyBorder="1" applyAlignment="1">
      <alignment horizontal="center" vertical="center"/>
    </xf>
    <xf numFmtId="1" fontId="23" fillId="28" borderId="38" xfId="4" applyNumberFormat="1" applyFont="1" applyFill="1" applyBorder="1" applyAlignment="1">
      <alignment horizontal="center" vertical="center"/>
    </xf>
    <xf numFmtId="1" fontId="23" fillId="27" borderId="38" xfId="4" applyNumberFormat="1" applyFont="1" applyFill="1" applyBorder="1" applyAlignment="1">
      <alignment horizontal="center" vertical="center"/>
    </xf>
    <xf numFmtId="1" fontId="23" fillId="27" borderId="39" xfId="4" applyNumberFormat="1" applyFont="1" applyFill="1" applyBorder="1" applyAlignment="1">
      <alignment horizontal="center" vertical="center"/>
    </xf>
    <xf numFmtId="1" fontId="23" fillId="28" borderId="5" xfId="4" quotePrefix="1" applyNumberFormat="1" applyFont="1" applyFill="1" applyBorder="1" applyAlignment="1">
      <alignment horizontal="center" vertical="center"/>
    </xf>
    <xf numFmtId="1" fontId="23" fillId="27" borderId="40" xfId="4" quotePrefix="1" applyNumberFormat="1" applyFont="1" applyFill="1" applyBorder="1" applyAlignment="1">
      <alignment horizontal="center" vertical="center"/>
    </xf>
    <xf numFmtId="1" fontId="23" fillId="28" borderId="40" xfId="4" quotePrefix="1" applyNumberFormat="1" applyFont="1" applyFill="1" applyBorder="1" applyAlignment="1">
      <alignment horizontal="center" vertical="center"/>
    </xf>
    <xf numFmtId="1" fontId="23" fillId="28" borderId="40" xfId="4" applyNumberFormat="1" applyFont="1" applyFill="1" applyBorder="1" applyAlignment="1">
      <alignment horizontal="center" vertical="center"/>
    </xf>
    <xf numFmtId="1" fontId="23" fillId="27" borderId="6" xfId="4" quotePrefix="1" applyNumberFormat="1" applyFont="1" applyFill="1" applyBorder="1" applyAlignment="1">
      <alignment horizontal="center" vertical="center"/>
    </xf>
    <xf numFmtId="167" fontId="24" fillId="3" borderId="40" xfId="4" applyNumberFormat="1" applyFont="1" applyFill="1" applyBorder="1" applyAlignment="1">
      <alignment horizontal="center" vertical="center"/>
    </xf>
    <xf numFmtId="167" fontId="24" fillId="27" borderId="41" xfId="4" applyNumberFormat="1" applyFont="1" applyFill="1" applyBorder="1" applyAlignment="1">
      <alignment horizontal="center" vertical="center"/>
    </xf>
    <xf numFmtId="167" fontId="24" fillId="27" borderId="40" xfId="4" applyNumberFormat="1" applyFont="1" applyFill="1" applyBorder="1" applyAlignment="1">
      <alignment horizontal="center" vertical="center"/>
    </xf>
    <xf numFmtId="2" fontId="23" fillId="29" borderId="42" xfId="4" applyNumberFormat="1" applyFont="1" applyFill="1" applyBorder="1" applyAlignment="1">
      <alignment horizontal="center" vertical="center"/>
    </xf>
    <xf numFmtId="1" fontId="23" fillId="27" borderId="13" xfId="4" applyNumberFormat="1" applyFont="1" applyFill="1" applyBorder="1" applyAlignment="1">
      <alignment horizontal="center" vertical="center"/>
    </xf>
    <xf numFmtId="1" fontId="23" fillId="28" borderId="10" xfId="4" quotePrefix="1" applyNumberFormat="1" applyFont="1" applyFill="1" applyBorder="1" applyAlignment="1">
      <alignment horizontal="center" vertical="center"/>
    </xf>
    <xf numFmtId="1" fontId="23" fillId="28" borderId="10" xfId="4" applyNumberFormat="1" applyFont="1" applyFill="1" applyBorder="1" applyAlignment="1">
      <alignment horizontal="center" vertical="center"/>
    </xf>
    <xf numFmtId="1" fontId="23" fillId="27" borderId="43" xfId="4" applyNumberFormat="1" applyFont="1" applyFill="1" applyBorder="1" applyAlignment="1">
      <alignment horizontal="center" vertical="center"/>
    </xf>
    <xf numFmtId="1" fontId="23" fillId="28" borderId="26" xfId="4" applyNumberFormat="1" applyFont="1" applyFill="1" applyBorder="1" applyAlignment="1">
      <alignment horizontal="center" vertical="center"/>
    </xf>
    <xf numFmtId="1" fontId="23" fillId="27" borderId="44" xfId="4" applyNumberFormat="1" applyFont="1" applyFill="1" applyBorder="1" applyAlignment="1">
      <alignment horizontal="center" vertical="center"/>
    </xf>
    <xf numFmtId="1" fontId="23" fillId="28" borderId="15" xfId="4" applyNumberFormat="1" applyFont="1" applyFill="1" applyBorder="1" applyAlignment="1">
      <alignment horizontal="center" vertical="center"/>
    </xf>
    <xf numFmtId="1" fontId="23" fillId="28" borderId="13" xfId="4" applyNumberFormat="1" applyFont="1" applyFill="1" applyBorder="1" applyAlignment="1">
      <alignment horizontal="center" vertical="center"/>
    </xf>
    <xf numFmtId="1" fontId="23" fillId="28" borderId="35" xfId="4" quotePrefix="1" applyNumberFormat="1" applyFont="1" applyFill="1" applyBorder="1" applyAlignment="1">
      <alignment horizontal="center" vertical="center"/>
    </xf>
    <xf numFmtId="1" fontId="23" fillId="28" borderId="43" xfId="4" applyNumberFormat="1" applyFont="1" applyFill="1" applyBorder="1" applyAlignment="1">
      <alignment horizontal="center" vertical="center"/>
    </xf>
    <xf numFmtId="1" fontId="23" fillId="27" borderId="26" xfId="4" quotePrefix="1" applyNumberFormat="1" applyFont="1" applyFill="1" applyBorder="1" applyAlignment="1">
      <alignment horizontal="center" vertical="center"/>
    </xf>
    <xf numFmtId="1" fontId="23" fillId="28" borderId="44" xfId="4" applyNumberFormat="1" applyFont="1" applyFill="1" applyBorder="1" applyAlignment="1">
      <alignment horizontal="center" vertical="center"/>
    </xf>
    <xf numFmtId="1" fontId="23" fillId="27" borderId="5" xfId="4" quotePrefix="1" applyNumberFormat="1" applyFont="1" applyFill="1" applyBorder="1" applyAlignment="1">
      <alignment horizontal="center" vertical="center"/>
    </xf>
    <xf numFmtId="1" fontId="23" fillId="27" borderId="15" xfId="4" applyNumberFormat="1" applyFont="1" applyFill="1" applyBorder="1" applyAlignment="1">
      <alignment horizontal="center" vertical="center"/>
    </xf>
    <xf numFmtId="1" fontId="23" fillId="28" borderId="26" xfId="4" quotePrefix="1" applyNumberFormat="1" applyFont="1" applyFill="1" applyBorder="1" applyAlignment="1">
      <alignment horizontal="center" vertical="center"/>
    </xf>
    <xf numFmtId="1" fontId="23" fillId="27" borderId="38" xfId="4" quotePrefix="1" applyNumberFormat="1" applyFont="1" applyFill="1" applyBorder="1" applyAlignment="1">
      <alignment horizontal="center" vertical="center"/>
    </xf>
    <xf numFmtId="1" fontId="23" fillId="28" borderId="5" xfId="4" applyNumberFormat="1" applyFont="1" applyFill="1" applyBorder="1" applyAlignment="1">
      <alignment horizontal="center" vertical="center"/>
    </xf>
    <xf numFmtId="1" fontId="23" fillId="27" borderId="9" xfId="4" applyNumberFormat="1" applyFont="1" applyFill="1" applyBorder="1" applyAlignment="1">
      <alignment horizontal="center" vertical="center"/>
    </xf>
    <xf numFmtId="1" fontId="23" fillId="27" borderId="10" xfId="4" applyNumberFormat="1" applyFont="1" applyFill="1" applyBorder="1" applyAlignment="1">
      <alignment horizontal="center" vertical="center"/>
    </xf>
    <xf numFmtId="1" fontId="23" fillId="28" borderId="38" xfId="4" quotePrefix="1" applyNumberFormat="1" applyFont="1" applyFill="1" applyBorder="1" applyAlignment="1">
      <alignment horizontal="center" vertical="center"/>
    </xf>
    <xf numFmtId="1" fontId="23" fillId="27" borderId="43" xfId="4" quotePrefix="1" applyNumberFormat="1" applyFont="1" applyFill="1" applyBorder="1" applyAlignment="1">
      <alignment horizontal="center" vertical="center"/>
    </xf>
    <xf numFmtId="1" fontId="23" fillId="28" borderId="13" xfId="4" quotePrefix="1" applyNumberFormat="1" applyFont="1" applyFill="1" applyBorder="1" applyAlignment="1">
      <alignment horizontal="center" vertical="center"/>
    </xf>
    <xf numFmtId="1" fontId="23" fillId="28" borderId="39" xfId="4" applyNumberFormat="1" applyFont="1" applyFill="1" applyBorder="1" applyAlignment="1">
      <alignment horizontal="center" vertical="center"/>
    </xf>
    <xf numFmtId="1" fontId="23" fillId="27" borderId="13" xfId="4" quotePrefix="1" applyNumberFormat="1" applyFont="1" applyFill="1" applyBorder="1" applyAlignment="1">
      <alignment horizontal="center" vertical="center"/>
    </xf>
    <xf numFmtId="1" fontId="23" fillId="28" borderId="43" xfId="4" quotePrefix="1" applyNumberFormat="1" applyFont="1" applyFill="1" applyBorder="1" applyAlignment="1">
      <alignment horizontal="center" vertical="center"/>
    </xf>
    <xf numFmtId="1" fontId="23" fillId="27" borderId="5" xfId="4" applyNumberFormat="1" applyFont="1" applyFill="1" applyBorder="1" applyAlignment="1">
      <alignment horizontal="center" vertical="center"/>
    </xf>
    <xf numFmtId="1" fontId="23" fillId="28" borderId="20" xfId="4" applyNumberFormat="1" applyFont="1" applyFill="1" applyBorder="1" applyAlignment="1">
      <alignment horizontal="center" vertical="center"/>
    </xf>
    <xf numFmtId="1" fontId="23" fillId="28" borderId="44" xfId="4" quotePrefix="1" applyNumberFormat="1" applyFont="1" applyFill="1" applyBorder="1" applyAlignment="1">
      <alignment horizontal="center" vertical="center"/>
    </xf>
    <xf numFmtId="167" fontId="24" fillId="16" borderId="41" xfId="4" applyNumberFormat="1" applyFont="1" applyFill="1" applyBorder="1" applyAlignment="1">
      <alignment horizontal="center" vertical="center"/>
    </xf>
    <xf numFmtId="1" fontId="23" fillId="28" borderId="14" xfId="4" applyNumberFormat="1" applyFont="1" applyFill="1" applyBorder="1" applyAlignment="1">
      <alignment horizontal="center" vertical="center"/>
    </xf>
    <xf numFmtId="1" fontId="23" fillId="27" borderId="36" xfId="4" quotePrefix="1" applyNumberFormat="1" applyFont="1" applyFill="1" applyBorder="1" applyAlignment="1">
      <alignment horizontal="center" vertical="center"/>
    </xf>
    <xf numFmtId="167" fontId="24" fillId="16" borderId="34" xfId="4" applyNumberFormat="1" applyFont="1" applyFill="1" applyBorder="1" applyAlignment="1">
      <alignment horizontal="center" vertical="center"/>
    </xf>
    <xf numFmtId="1" fontId="23" fillId="27" borderId="34" xfId="4" quotePrefix="1" applyNumberFormat="1" applyFont="1" applyFill="1" applyBorder="1" applyAlignment="1">
      <alignment horizontal="center" vertical="center"/>
    </xf>
    <xf numFmtId="1" fontId="23" fillId="28" borderId="37" xfId="4" applyNumberFormat="1" applyFont="1" applyFill="1" applyBorder="1" applyAlignment="1">
      <alignment horizontal="center" vertical="center"/>
    </xf>
    <xf numFmtId="1" fontId="23" fillId="30" borderId="22" xfId="4" applyNumberFormat="1" applyFont="1" applyFill="1" applyBorder="1" applyAlignment="1">
      <alignment horizontal="center" vertical="center"/>
    </xf>
    <xf numFmtId="167" fontId="24" fillId="16" borderId="36" xfId="4" applyNumberFormat="1" applyFont="1" applyFill="1" applyBorder="1" applyAlignment="1">
      <alignment horizontal="center" vertical="center"/>
    </xf>
    <xf numFmtId="1" fontId="23" fillId="28" borderId="42" xfId="4" applyNumberFormat="1" applyFont="1" applyFill="1" applyBorder="1" applyAlignment="1">
      <alignment horizontal="center" vertical="center"/>
    </xf>
    <xf numFmtId="1" fontId="23" fillId="30" borderId="21" xfId="4" applyNumberFormat="1" applyFont="1" applyFill="1" applyBorder="1" applyAlignment="1">
      <alignment horizontal="center" vertical="center"/>
    </xf>
    <xf numFmtId="1" fontId="23" fillId="30" borderId="35" xfId="4" applyNumberFormat="1" applyFont="1" applyFill="1" applyBorder="1" applyAlignment="1">
      <alignment horizontal="center" vertical="center"/>
    </xf>
    <xf numFmtId="1" fontId="23" fillId="27" borderId="45" xfId="4" applyNumberFormat="1" applyFont="1" applyFill="1" applyBorder="1" applyAlignment="1">
      <alignment horizontal="center" vertical="center"/>
    </xf>
    <xf numFmtId="1" fontId="23" fillId="28" borderId="41" xfId="4" quotePrefix="1" applyNumberFormat="1" applyFont="1" applyFill="1" applyBorder="1" applyAlignment="1">
      <alignment horizontal="center" vertical="center"/>
    </xf>
    <xf numFmtId="1" fontId="23" fillId="27" borderId="7" xfId="4" applyNumberFormat="1" applyFont="1" applyFill="1" applyBorder="1" applyAlignment="1">
      <alignment horizontal="center" vertical="center"/>
    </xf>
    <xf numFmtId="1" fontId="23" fillId="28" borderId="34" xfId="4" quotePrefix="1" applyNumberFormat="1" applyFont="1" applyFill="1" applyBorder="1" applyAlignment="1">
      <alignment horizontal="center" vertical="center"/>
    </xf>
    <xf numFmtId="1" fontId="23" fillId="27" borderId="25" xfId="4" applyNumberFormat="1" applyFont="1" applyFill="1" applyBorder="1" applyAlignment="1">
      <alignment horizontal="center" vertical="center"/>
    </xf>
    <xf numFmtId="1" fontId="23" fillId="28" borderId="36" xfId="4" quotePrefix="1" applyNumberFormat="1" applyFont="1" applyFill="1" applyBorder="1" applyAlignment="1">
      <alignment horizontal="center" vertical="center"/>
    </xf>
    <xf numFmtId="1" fontId="23" fillId="27" borderId="4" xfId="4" applyNumberFormat="1" applyFont="1" applyFill="1" applyBorder="1" applyAlignment="1">
      <alignment horizontal="center" vertical="center"/>
    </xf>
    <xf numFmtId="1" fontId="23" fillId="6" borderId="22" xfId="4" applyNumberFormat="1" applyFont="1" applyFill="1" applyBorder="1" applyAlignment="1">
      <alignment horizontal="center" vertical="center"/>
    </xf>
    <xf numFmtId="1" fontId="23" fillId="28" borderId="25" xfId="4" applyNumberFormat="1" applyFont="1" applyFill="1" applyBorder="1" applyAlignment="1">
      <alignment horizontal="center" vertical="center"/>
    </xf>
    <xf numFmtId="1" fontId="23" fillId="6" borderId="46" xfId="4" applyNumberFormat="1" applyFont="1" applyFill="1" applyBorder="1" applyAlignment="1">
      <alignment horizontal="center" vertical="center"/>
    </xf>
    <xf numFmtId="1" fontId="23" fillId="28" borderId="4" xfId="4" applyNumberFormat="1" applyFont="1" applyFill="1" applyBorder="1" applyAlignment="1">
      <alignment horizontal="center" vertical="center"/>
    </xf>
    <xf numFmtId="1" fontId="23" fillId="6" borderId="47" xfId="4" applyNumberFormat="1" applyFont="1" applyFill="1" applyBorder="1" applyAlignment="1">
      <alignment horizontal="center" vertical="center"/>
    </xf>
    <xf numFmtId="1" fontId="23" fillId="27" borderId="48" xfId="4" quotePrefix="1" applyNumberFormat="1" applyFont="1" applyFill="1" applyBorder="1" applyAlignment="1">
      <alignment horizontal="center" vertical="center"/>
    </xf>
    <xf numFmtId="1" fontId="25" fillId="31" borderId="22" xfId="4" applyNumberFormat="1" applyFont="1" applyFill="1" applyBorder="1" applyAlignment="1">
      <alignment horizontal="center" vertical="center"/>
    </xf>
    <xf numFmtId="167" fontId="24" fillId="2" borderId="29" xfId="4" applyNumberFormat="1" applyFont="1" applyFill="1" applyBorder="1" applyAlignment="1">
      <alignment horizontal="center" vertical="center"/>
    </xf>
    <xf numFmtId="1" fontId="23" fillId="28" borderId="7" xfId="4" applyNumberFormat="1" applyFont="1" applyFill="1" applyBorder="1" applyAlignment="1">
      <alignment horizontal="center" vertical="center"/>
    </xf>
    <xf numFmtId="1" fontId="25" fillId="31" borderId="13" xfId="4" applyNumberFormat="1" applyFont="1" applyFill="1" applyBorder="1" applyAlignment="1">
      <alignment horizontal="center" vertical="center"/>
    </xf>
    <xf numFmtId="167" fontId="24" fillId="2" borderId="40" xfId="4" applyNumberFormat="1" applyFont="1" applyFill="1" applyBorder="1" applyAlignment="1">
      <alignment horizontal="center" vertical="center"/>
    </xf>
    <xf numFmtId="1" fontId="23" fillId="27" borderId="20" xfId="4" applyNumberFormat="1" applyFont="1" applyFill="1" applyBorder="1" applyAlignment="1">
      <alignment horizontal="center" vertical="center"/>
    </xf>
    <xf numFmtId="1" fontId="25" fillId="31" borderId="35" xfId="4" applyNumberFormat="1" applyFont="1" applyFill="1" applyBorder="1" applyAlignment="1">
      <alignment horizontal="center" vertical="center"/>
    </xf>
    <xf numFmtId="167" fontId="24" fillId="2" borderId="9" xfId="4" applyNumberFormat="1" applyFont="1" applyFill="1" applyBorder="1" applyAlignment="1">
      <alignment horizontal="center" vertical="center"/>
    </xf>
    <xf numFmtId="1" fontId="23" fillId="28" borderId="45" xfId="4" applyNumberFormat="1" applyFont="1" applyFill="1" applyBorder="1" applyAlignment="1">
      <alignment horizontal="center" vertical="center"/>
    </xf>
    <xf numFmtId="1" fontId="25" fillId="5" borderId="22" xfId="4" applyNumberFormat="1" applyFont="1" applyFill="1" applyBorder="1" applyAlignment="1">
      <alignment horizontal="center" vertical="center"/>
    </xf>
    <xf numFmtId="1" fontId="25" fillId="5" borderId="20" xfId="4" applyNumberFormat="1" applyFont="1" applyFill="1" applyBorder="1" applyAlignment="1">
      <alignment horizontal="center" vertical="center"/>
    </xf>
    <xf numFmtId="1" fontId="23" fillId="27" borderId="40" xfId="4" applyNumberFormat="1" applyFont="1" applyFill="1" applyBorder="1" applyAlignment="1">
      <alignment horizontal="center" vertical="center"/>
    </xf>
    <xf numFmtId="1" fontId="23" fillId="27" borderId="9" xfId="4" applyNumberFormat="1" applyFont="1" applyFill="1" applyBorder="1" applyAlignment="1">
      <alignment horizontal="left" vertical="center"/>
    </xf>
    <xf numFmtId="1" fontId="25" fillId="5" borderId="35" xfId="4" applyNumberFormat="1" applyFont="1" applyFill="1" applyBorder="1" applyAlignment="1">
      <alignment horizontal="center" vertical="center"/>
    </xf>
    <xf numFmtId="1" fontId="23" fillId="27" borderId="49" xfId="4" applyNumberFormat="1" applyFont="1" applyFill="1" applyBorder="1" applyAlignment="1">
      <alignment horizontal="center" vertical="center"/>
    </xf>
    <xf numFmtId="1" fontId="23" fillId="27" borderId="11" xfId="4" applyNumberFormat="1" applyFont="1" applyFill="1" applyBorder="1" applyAlignment="1">
      <alignment horizontal="center" vertical="center"/>
    </xf>
    <xf numFmtId="1" fontId="23" fillId="27" borderId="17" xfId="4" applyNumberFormat="1" applyFont="1" applyFill="1" applyBorder="1" applyAlignment="1">
      <alignment horizontal="center" vertical="center"/>
    </xf>
    <xf numFmtId="1" fontId="23" fillId="27" borderId="7" xfId="4" quotePrefix="1" applyNumberFormat="1" applyFont="1" applyFill="1" applyBorder="1" applyAlignment="1">
      <alignment horizontal="center" vertical="center"/>
    </xf>
    <xf numFmtId="1" fontId="23" fillId="27" borderId="25" xfId="4" quotePrefix="1" applyNumberFormat="1" applyFont="1" applyFill="1" applyBorder="1" applyAlignment="1">
      <alignment horizontal="center" vertical="center"/>
    </xf>
    <xf numFmtId="1" fontId="23" fillId="28" borderId="25" xfId="4" quotePrefix="1" applyNumberFormat="1" applyFont="1" applyFill="1" applyBorder="1" applyAlignment="1">
      <alignment horizontal="center" vertical="center"/>
    </xf>
    <xf numFmtId="1" fontId="23" fillId="28" borderId="7" xfId="4" quotePrefix="1" applyNumberFormat="1" applyFont="1" applyFill="1" applyBorder="1" applyAlignment="1">
      <alignment horizontal="center" vertical="center"/>
    </xf>
    <xf numFmtId="1" fontId="23" fillId="27" borderId="36" xfId="4" applyNumberFormat="1" applyFont="1" applyFill="1" applyBorder="1" applyAlignment="1">
      <alignment horizontal="center" vertical="center"/>
    </xf>
    <xf numFmtId="1" fontId="23" fillId="27" borderId="48" xfId="4" applyNumberFormat="1" applyFont="1" applyFill="1" applyBorder="1" applyAlignment="1">
      <alignment horizontal="center" vertical="center"/>
    </xf>
    <xf numFmtId="1" fontId="23" fillId="32" borderId="21" xfId="4" applyNumberFormat="1" applyFont="1" applyFill="1" applyBorder="1" applyAlignment="1">
      <alignment horizontal="center" vertical="center"/>
    </xf>
    <xf numFmtId="1" fontId="23" fillId="32" borderId="20" xfId="4" applyNumberFormat="1" applyFont="1" applyFill="1" applyBorder="1" applyAlignment="1">
      <alignment horizontal="center" vertical="center"/>
    </xf>
    <xf numFmtId="1" fontId="23" fillId="32" borderId="35" xfId="4" applyNumberFormat="1" applyFont="1" applyFill="1" applyBorder="1" applyAlignment="1">
      <alignment horizontal="center" vertical="center"/>
    </xf>
    <xf numFmtId="167" fontId="24" fillId="33" borderId="9" xfId="4" applyNumberFormat="1" applyFont="1" applyFill="1" applyBorder="1" applyAlignment="1">
      <alignment horizontal="center" vertical="center"/>
    </xf>
    <xf numFmtId="167" fontId="24" fillId="33" borderId="29" xfId="4" applyNumberFormat="1" applyFont="1" applyFill="1" applyBorder="1" applyAlignment="1">
      <alignment horizontal="center" vertical="center"/>
    </xf>
    <xf numFmtId="167" fontId="24" fillId="33" borderId="40" xfId="4" applyNumberFormat="1" applyFont="1" applyFill="1" applyBorder="1" applyAlignment="1">
      <alignment horizontal="center" vertical="center"/>
    </xf>
    <xf numFmtId="167" fontId="24" fillId="32" borderId="29" xfId="4" applyNumberFormat="1" applyFont="1" applyFill="1" applyBorder="1" applyAlignment="1">
      <alignment horizontal="center" vertical="center"/>
    </xf>
    <xf numFmtId="1" fontId="25" fillId="34" borderId="31" xfId="4" applyNumberFormat="1" applyFont="1" applyFill="1" applyBorder="1" applyAlignment="1">
      <alignment horizontal="center" vertical="center"/>
    </xf>
    <xf numFmtId="1" fontId="23" fillId="28" borderId="50" xfId="4" applyNumberFormat="1" applyFont="1" applyFill="1" applyBorder="1" applyAlignment="1">
      <alignment horizontal="center" vertical="center"/>
    </xf>
    <xf numFmtId="1" fontId="25" fillId="34" borderId="43" xfId="4" applyNumberFormat="1" applyFont="1" applyFill="1" applyBorder="1" applyAlignment="1">
      <alignment horizontal="center" vertical="center"/>
    </xf>
    <xf numFmtId="1" fontId="23" fillId="28" borderId="51" xfId="4" applyNumberFormat="1" applyFont="1" applyFill="1" applyBorder="1" applyAlignment="1">
      <alignment horizontal="center" vertical="center"/>
    </xf>
    <xf numFmtId="1" fontId="23" fillId="30" borderId="20" xfId="4" applyNumberFormat="1" applyFont="1" applyFill="1" applyBorder="1" applyAlignment="1">
      <alignment horizontal="center" vertical="center"/>
    </xf>
    <xf numFmtId="1" fontId="25" fillId="34" borderId="51" xfId="4" applyNumberFormat="1" applyFont="1" applyFill="1" applyBorder="1" applyAlignment="1">
      <alignment horizontal="center" vertical="center"/>
    </xf>
    <xf numFmtId="1" fontId="23" fillId="27" borderId="50" xfId="4" applyNumberFormat="1" applyFont="1" applyFill="1" applyBorder="1" applyAlignment="1">
      <alignment horizontal="center" vertical="center"/>
    </xf>
    <xf numFmtId="1" fontId="23" fillId="27" borderId="4" xfId="4" quotePrefix="1" applyNumberFormat="1" applyFont="1" applyFill="1" applyBorder="1" applyAlignment="1">
      <alignment horizontal="center" vertical="center"/>
    </xf>
    <xf numFmtId="1" fontId="23" fillId="28" borderId="4" xfId="4" quotePrefix="1" applyNumberFormat="1" applyFont="1" applyFill="1" applyBorder="1" applyAlignment="1">
      <alignment horizontal="center" vertical="center"/>
    </xf>
    <xf numFmtId="1" fontId="23" fillId="27" borderId="41" xfId="4" applyNumberFormat="1" applyFont="1" applyFill="1" applyBorder="1" applyAlignment="1">
      <alignment horizontal="center" vertical="center"/>
    </xf>
    <xf numFmtId="1" fontId="23" fillId="28" borderId="18" xfId="4" applyNumberFormat="1" applyFont="1" applyFill="1" applyBorder="1" applyAlignment="1">
      <alignment horizontal="center" vertical="center"/>
    </xf>
    <xf numFmtId="1" fontId="23" fillId="6" borderId="35" xfId="4" applyNumberFormat="1" applyFont="1" applyFill="1" applyBorder="1" applyAlignment="1">
      <alignment horizontal="center" vertical="center"/>
    </xf>
    <xf numFmtId="1" fontId="23" fillId="27" borderId="28" xfId="4" applyNumberFormat="1" applyFont="1" applyFill="1" applyBorder="1" applyAlignment="1">
      <alignment horizontal="center" vertical="center"/>
    </xf>
    <xf numFmtId="1" fontId="23" fillId="6" borderId="20" xfId="4" applyNumberFormat="1" applyFont="1" applyFill="1" applyBorder="1" applyAlignment="1">
      <alignment horizontal="center" vertical="center"/>
    </xf>
    <xf numFmtId="1" fontId="25" fillId="26" borderId="20" xfId="4" applyNumberFormat="1" applyFont="1" applyFill="1" applyBorder="1" applyAlignment="1">
      <alignment horizontal="center" vertical="center"/>
    </xf>
    <xf numFmtId="1" fontId="23" fillId="27" borderId="46" xfId="4" applyNumberFormat="1" applyFont="1" applyFill="1" applyBorder="1" applyAlignment="1">
      <alignment horizontal="center" vertical="center"/>
    </xf>
    <xf numFmtId="1" fontId="25" fillId="26" borderId="22" xfId="4" applyNumberFormat="1" applyFont="1" applyFill="1" applyBorder="1" applyAlignment="1">
      <alignment horizontal="center" vertical="center"/>
    </xf>
    <xf numFmtId="1" fontId="23" fillId="27" borderId="51" xfId="4" applyNumberFormat="1" applyFont="1" applyFill="1" applyBorder="1" applyAlignment="1">
      <alignment horizontal="center" vertical="center"/>
    </xf>
    <xf numFmtId="1" fontId="25" fillId="31" borderId="20" xfId="4" applyNumberFormat="1" applyFont="1" applyFill="1" applyBorder="1" applyAlignment="1">
      <alignment horizontal="center" vertical="center"/>
    </xf>
    <xf numFmtId="1" fontId="25" fillId="35" borderId="22" xfId="4" applyNumberFormat="1" applyFont="1" applyFill="1" applyBorder="1" applyAlignment="1">
      <alignment horizontal="center" vertical="center"/>
    </xf>
    <xf numFmtId="1" fontId="25" fillId="35" borderId="20" xfId="4" applyNumberFormat="1" applyFont="1" applyFill="1" applyBorder="1" applyAlignment="1">
      <alignment horizontal="center" vertical="center"/>
    </xf>
    <xf numFmtId="1" fontId="23" fillId="27" borderId="47" xfId="4" applyNumberFormat="1" applyFont="1" applyFill="1" applyBorder="1" applyAlignment="1">
      <alignment horizontal="center" vertical="center"/>
    </xf>
    <xf numFmtId="1" fontId="23" fillId="27" borderId="29" xfId="4" applyNumberFormat="1" applyFont="1" applyFill="1" applyBorder="1" applyAlignment="1">
      <alignment horizontal="center" vertical="center"/>
    </xf>
    <xf numFmtId="167" fontId="24" fillId="26" borderId="29" xfId="4" applyNumberFormat="1" applyFont="1" applyFill="1" applyBorder="1" applyAlignment="1">
      <alignment horizontal="center" vertical="center"/>
    </xf>
    <xf numFmtId="1" fontId="23" fillId="36" borderId="15" xfId="4" applyNumberFormat="1" applyFont="1" applyFill="1" applyBorder="1" applyAlignment="1">
      <alignment horizontal="center" vertical="center"/>
    </xf>
    <xf numFmtId="167" fontId="24" fillId="26" borderId="40" xfId="4" applyNumberFormat="1" applyFont="1" applyFill="1" applyBorder="1" applyAlignment="1">
      <alignment horizontal="center" vertical="center"/>
    </xf>
    <xf numFmtId="1" fontId="23" fillId="36" borderId="43" xfId="4" applyNumberFormat="1" applyFont="1" applyFill="1" applyBorder="1" applyAlignment="1">
      <alignment horizontal="center" vertical="center"/>
    </xf>
    <xf numFmtId="167" fontId="24" fillId="26" borderId="9" xfId="4" applyNumberFormat="1" applyFont="1" applyFill="1" applyBorder="1" applyAlignment="1">
      <alignment horizontal="center" vertical="center"/>
    </xf>
    <xf numFmtId="1" fontId="23" fillId="36" borderId="44" xfId="4" applyNumberFormat="1" applyFont="1" applyFill="1" applyBorder="1" applyAlignment="1">
      <alignment horizontal="center" vertical="center"/>
    </xf>
    <xf numFmtId="167" fontId="24" fillId="37" borderId="29" xfId="4" applyNumberFormat="1" applyFont="1" applyFill="1" applyBorder="1" applyAlignment="1">
      <alignment horizontal="center" vertical="center"/>
    </xf>
    <xf numFmtId="2" fontId="23" fillId="29" borderId="22" xfId="4" applyNumberFormat="1" applyFont="1" applyFill="1" applyBorder="1" applyAlignment="1">
      <alignment horizontal="center" vertical="center"/>
    </xf>
    <xf numFmtId="0" fontId="26" fillId="27" borderId="14" xfId="4" applyFont="1" applyFill="1" applyBorder="1" applyAlignment="1">
      <alignment horizontal="center"/>
    </xf>
    <xf numFmtId="167" fontId="24" fillId="37" borderId="40" xfId="4" applyNumberFormat="1" applyFont="1" applyFill="1" applyBorder="1" applyAlignment="1">
      <alignment horizontal="center" vertical="center"/>
    </xf>
    <xf numFmtId="2" fontId="23" fillId="29" borderId="38" xfId="4" applyNumberFormat="1" applyFont="1" applyFill="1" applyBorder="1" applyAlignment="1">
      <alignment horizontal="center" vertical="center"/>
    </xf>
    <xf numFmtId="1" fontId="23" fillId="36" borderId="21" xfId="4" applyNumberFormat="1" applyFont="1" applyFill="1" applyBorder="1" applyAlignment="1">
      <alignment horizontal="center" vertical="center"/>
    </xf>
    <xf numFmtId="167" fontId="24" fillId="37" borderId="9" xfId="4" applyNumberFormat="1" applyFont="1" applyFill="1" applyBorder="1" applyAlignment="1">
      <alignment horizontal="center" vertical="center"/>
    </xf>
    <xf numFmtId="1" fontId="23" fillId="36" borderId="20" xfId="4" applyNumberFormat="1" applyFont="1" applyFill="1" applyBorder="1" applyAlignment="1">
      <alignment horizontal="center" vertical="center"/>
    </xf>
    <xf numFmtId="1" fontId="23" fillId="4" borderId="15" xfId="4" applyNumberFormat="1" applyFont="1" applyFill="1" applyBorder="1" applyAlignment="1">
      <alignment horizontal="center" vertical="center"/>
    </xf>
    <xf numFmtId="1" fontId="23" fillId="4" borderId="20" xfId="4" applyNumberFormat="1" applyFont="1" applyFill="1" applyBorder="1" applyAlignment="1">
      <alignment horizontal="center" vertical="center"/>
    </xf>
    <xf numFmtId="167" fontId="24" fillId="38" borderId="9" xfId="4" applyNumberFormat="1" applyFont="1" applyFill="1" applyBorder="1" applyAlignment="1">
      <alignment horizontal="center" vertical="center"/>
    </xf>
    <xf numFmtId="167" fontId="24" fillId="25" borderId="9" xfId="4" applyNumberFormat="1" applyFont="1" applyFill="1" applyBorder="1" applyAlignment="1">
      <alignment horizontal="center" vertical="center"/>
    </xf>
    <xf numFmtId="1" fontId="23" fillId="4" borderId="35" xfId="4" applyNumberFormat="1" applyFont="1" applyFill="1" applyBorder="1" applyAlignment="1">
      <alignment horizontal="center" vertical="center"/>
    </xf>
    <xf numFmtId="167" fontId="24" fillId="38" borderId="29" xfId="4" applyNumberFormat="1" applyFont="1" applyFill="1" applyBorder="1" applyAlignment="1">
      <alignment horizontal="center" vertical="center"/>
    </xf>
    <xf numFmtId="167" fontId="24" fillId="25" borderId="29" xfId="4" applyNumberFormat="1" applyFont="1" applyFill="1" applyBorder="1" applyAlignment="1">
      <alignment horizontal="center" vertical="center"/>
    </xf>
    <xf numFmtId="167" fontId="24" fillId="38" borderId="40" xfId="4" applyNumberFormat="1" applyFont="1" applyFill="1" applyBorder="1" applyAlignment="1">
      <alignment horizontal="center" vertical="center"/>
    </xf>
    <xf numFmtId="167" fontId="24" fillId="25" borderId="40" xfId="4" applyNumberFormat="1" applyFont="1" applyFill="1" applyBorder="1" applyAlignment="1">
      <alignment horizontal="center" vertical="center"/>
    </xf>
    <xf numFmtId="1" fontId="23" fillId="25" borderId="15" xfId="4" applyNumberFormat="1" applyFont="1" applyFill="1" applyBorder="1" applyAlignment="1">
      <alignment horizontal="center" vertical="center"/>
    </xf>
    <xf numFmtId="1" fontId="23" fillId="25" borderId="43" xfId="4" applyNumberFormat="1" applyFont="1" applyFill="1" applyBorder="1" applyAlignment="1">
      <alignment horizontal="center" vertical="center"/>
    </xf>
    <xf numFmtId="1" fontId="23" fillId="27" borderId="44" xfId="4" quotePrefix="1" applyNumberFormat="1" applyFont="1" applyFill="1" applyBorder="1" applyAlignment="1">
      <alignment horizontal="center" vertical="center"/>
    </xf>
    <xf numFmtId="1" fontId="23" fillId="25" borderId="44" xfId="4" applyNumberFormat="1" applyFont="1" applyFill="1" applyBorder="1" applyAlignment="1">
      <alignment horizontal="center" vertical="center"/>
    </xf>
    <xf numFmtId="167" fontId="24" fillId="39" borderId="40" xfId="4" applyNumberFormat="1" applyFont="1" applyFill="1" applyBorder="1" applyAlignment="1">
      <alignment horizontal="center" vertical="center"/>
    </xf>
    <xf numFmtId="167" fontId="24" fillId="39" borderId="9" xfId="4" applyNumberFormat="1" applyFont="1" applyFill="1" applyBorder="1" applyAlignment="1">
      <alignment horizontal="center" vertical="center"/>
    </xf>
    <xf numFmtId="1" fontId="23" fillId="27" borderId="34" xfId="4" applyNumberFormat="1" applyFont="1" applyFill="1" applyBorder="1" applyAlignment="1">
      <alignment horizontal="center" vertical="center"/>
    </xf>
    <xf numFmtId="167" fontId="24" fillId="39" borderId="29" xfId="4" applyNumberFormat="1" applyFont="1" applyFill="1" applyBorder="1" applyAlignment="1">
      <alignment horizontal="center" vertical="center"/>
    </xf>
    <xf numFmtId="1" fontId="23" fillId="28" borderId="17" xfId="4" applyNumberFormat="1" applyFont="1" applyFill="1" applyBorder="1" applyAlignment="1">
      <alignment horizontal="center" vertical="center"/>
    </xf>
    <xf numFmtId="1" fontId="23" fillId="40" borderId="11" xfId="4" applyNumberFormat="1" applyFont="1" applyFill="1" applyBorder="1" applyAlignment="1">
      <alignment horizontal="center" vertical="center"/>
    </xf>
    <xf numFmtId="1" fontId="23" fillId="40" borderId="21" xfId="4" applyNumberFormat="1" applyFont="1" applyFill="1" applyBorder="1" applyAlignment="1">
      <alignment horizontal="center" vertical="center"/>
    </xf>
    <xf numFmtId="1" fontId="23" fillId="40" borderId="20" xfId="4" applyNumberFormat="1" applyFont="1" applyFill="1" applyBorder="1" applyAlignment="1">
      <alignment horizontal="center" vertical="center"/>
    </xf>
    <xf numFmtId="1" fontId="23" fillId="27" borderId="52" xfId="4" quotePrefix="1" applyNumberFormat="1" applyFont="1" applyFill="1" applyBorder="1" applyAlignment="1">
      <alignment horizontal="center" vertical="center"/>
    </xf>
    <xf numFmtId="1" fontId="25" fillId="3" borderId="53" xfId="4" applyNumberFormat="1" applyFont="1" applyFill="1" applyBorder="1" applyAlignment="1">
      <alignment horizontal="center" vertical="center"/>
    </xf>
    <xf numFmtId="1" fontId="23" fillId="27" borderId="41" xfId="4" quotePrefix="1" applyNumberFormat="1" applyFont="1" applyFill="1" applyBorder="1" applyAlignment="1">
      <alignment horizontal="center" vertical="center"/>
    </xf>
    <xf numFmtId="1" fontId="23" fillId="28" borderId="0" xfId="4" quotePrefix="1" applyNumberFormat="1" applyFont="1" applyFill="1" applyAlignment="1">
      <alignment horizontal="center" vertical="center"/>
    </xf>
    <xf numFmtId="167" fontId="23" fillId="29" borderId="14" xfId="4" applyNumberFormat="1" applyFont="1" applyFill="1" applyBorder="1" applyAlignment="1">
      <alignment horizontal="center" vertical="center"/>
    </xf>
    <xf numFmtId="167" fontId="23" fillId="29" borderId="37" xfId="4" applyNumberFormat="1" applyFont="1" applyFill="1" applyBorder="1" applyAlignment="1">
      <alignment horizontal="center" vertical="center"/>
    </xf>
    <xf numFmtId="167" fontId="23" fillId="29" borderId="42" xfId="4" applyNumberFormat="1" applyFont="1" applyFill="1" applyBorder="1" applyAlignment="1">
      <alignment horizontal="center" vertical="center"/>
    </xf>
    <xf numFmtId="1" fontId="23" fillId="41" borderId="31" xfId="4" applyNumberFormat="1" applyFont="1" applyFill="1" applyBorder="1" applyAlignment="1">
      <alignment horizontal="center" vertical="center"/>
    </xf>
    <xf numFmtId="1" fontId="23" fillId="41" borderId="43" xfId="4" applyNumberFormat="1" applyFont="1" applyFill="1" applyBorder="1" applyAlignment="1">
      <alignment horizontal="center" vertical="center"/>
    </xf>
    <xf numFmtId="1" fontId="23" fillId="41" borderId="13" xfId="4" applyNumberFormat="1" applyFont="1" applyFill="1" applyBorder="1" applyAlignment="1">
      <alignment horizontal="center" vertical="center"/>
    </xf>
    <xf numFmtId="1" fontId="23" fillId="28" borderId="24" xfId="4" quotePrefix="1" applyNumberFormat="1" applyFont="1" applyFill="1" applyBorder="1" applyAlignment="1">
      <alignment horizontal="center" vertical="center"/>
    </xf>
    <xf numFmtId="1" fontId="23" fillId="28" borderId="6" xfId="4" quotePrefix="1" applyNumberFormat="1" applyFont="1" applyFill="1" applyBorder="1" applyAlignment="1">
      <alignment horizontal="center" vertical="center"/>
    </xf>
    <xf numFmtId="1" fontId="23" fillId="4" borderId="45" xfId="4" applyNumberFormat="1" applyFont="1" applyFill="1" applyBorder="1" applyAlignment="1">
      <alignment horizontal="center" vertical="center"/>
    </xf>
    <xf numFmtId="1" fontId="23" fillId="28" borderId="24" xfId="4" applyNumberFormat="1" applyFont="1" applyFill="1" applyBorder="1" applyAlignment="1">
      <alignment horizontal="center" vertical="center"/>
    </xf>
    <xf numFmtId="1" fontId="23" fillId="28" borderId="6" xfId="4" applyNumberFormat="1" applyFont="1" applyFill="1" applyBorder="1" applyAlignment="1">
      <alignment horizontal="center" vertical="center"/>
    </xf>
    <xf numFmtId="1" fontId="23" fillId="28" borderId="0" xfId="4" applyNumberFormat="1" applyFont="1" applyFill="1" applyAlignment="1">
      <alignment horizontal="center" vertical="center"/>
    </xf>
    <xf numFmtId="1" fontId="25" fillId="22" borderId="11" xfId="4" applyNumberFormat="1" applyFont="1" applyFill="1" applyBorder="1" applyAlignment="1">
      <alignment horizontal="center" vertical="center"/>
    </xf>
    <xf numFmtId="1" fontId="25" fillId="22" borderId="35" xfId="4" applyNumberFormat="1" applyFont="1" applyFill="1" applyBorder="1" applyAlignment="1">
      <alignment horizontal="center" vertical="center"/>
    </xf>
    <xf numFmtId="1" fontId="25" fillId="22" borderId="20" xfId="4" applyNumberFormat="1" applyFont="1" applyFill="1" applyBorder="1" applyAlignment="1">
      <alignment horizontal="center" vertical="center"/>
    </xf>
    <xf numFmtId="1" fontId="23" fillId="25" borderId="21" xfId="4" applyNumberFormat="1" applyFont="1" applyFill="1" applyBorder="1" applyAlignment="1">
      <alignment horizontal="center" vertical="center"/>
    </xf>
    <xf numFmtId="1" fontId="23" fillId="25" borderId="35" xfId="4" applyNumberFormat="1" applyFont="1" applyFill="1" applyBorder="1" applyAlignment="1">
      <alignment horizontal="center" vertical="center"/>
    </xf>
    <xf numFmtId="1" fontId="23" fillId="25" borderId="38" xfId="4" applyNumberFormat="1" applyFont="1" applyFill="1" applyBorder="1" applyAlignment="1">
      <alignment horizontal="center" vertical="center"/>
    </xf>
    <xf numFmtId="1" fontId="23" fillId="25" borderId="20" xfId="4" applyNumberFormat="1" applyFont="1" applyFill="1" applyBorder="1" applyAlignment="1">
      <alignment horizontal="center" vertical="center"/>
    </xf>
    <xf numFmtId="1" fontId="23" fillId="27" borderId="47" xfId="4" quotePrefix="1" applyNumberFormat="1" applyFont="1" applyFill="1" applyBorder="1" applyAlignment="1">
      <alignment horizontal="center" vertical="center"/>
    </xf>
    <xf numFmtId="1" fontId="23" fillId="3" borderId="1" xfId="4" applyNumberFormat="1" applyFont="1" applyFill="1" applyBorder="1" applyAlignment="1">
      <alignment horizontal="center" vertical="center"/>
    </xf>
    <xf numFmtId="1" fontId="23" fillId="3" borderId="29" xfId="4" applyNumberFormat="1" applyFont="1" applyFill="1" applyBorder="1" applyAlignment="1">
      <alignment horizontal="center" vertical="center"/>
    </xf>
    <xf numFmtId="1" fontId="23" fillId="3" borderId="7" xfId="4" applyNumberFormat="1" applyFont="1" applyFill="1" applyBorder="1" applyAlignment="1">
      <alignment horizontal="center" vertical="center"/>
    </xf>
    <xf numFmtId="1" fontId="23" fillId="3" borderId="25" xfId="4" applyNumberFormat="1" applyFont="1" applyFill="1" applyBorder="1" applyAlignment="1">
      <alignment horizontal="center" vertical="center"/>
    </xf>
    <xf numFmtId="1" fontId="23" fillId="27" borderId="0" xfId="4" applyNumberFormat="1" applyFont="1" applyFill="1" applyAlignment="1">
      <alignment horizontal="center" vertical="center"/>
    </xf>
    <xf numFmtId="1" fontId="23" fillId="3" borderId="4" xfId="4" applyNumberFormat="1" applyFont="1" applyFill="1" applyBorder="1" applyAlignment="1">
      <alignment horizontal="center" vertical="center"/>
    </xf>
    <xf numFmtId="1" fontId="23" fillId="27" borderId="24" xfId="4" applyNumberFormat="1" applyFont="1" applyFill="1" applyBorder="1" applyAlignment="1">
      <alignment horizontal="center" vertical="center"/>
    </xf>
    <xf numFmtId="1" fontId="23" fillId="3" borderId="7" xfId="4" quotePrefix="1" applyNumberFormat="1" applyFont="1" applyFill="1" applyBorder="1" applyAlignment="1">
      <alignment horizontal="center" vertical="center"/>
    </xf>
    <xf numFmtId="1" fontId="23" fillId="3" borderId="25" xfId="4" quotePrefix="1" applyNumberFormat="1" applyFont="1" applyFill="1" applyBorder="1" applyAlignment="1">
      <alignment horizontal="center" vertical="center"/>
    </xf>
    <xf numFmtId="1" fontId="23" fillId="27" borderId="22" xfId="4" applyNumberFormat="1" applyFont="1" applyFill="1" applyBorder="1" applyAlignment="1">
      <alignment horizontal="center" vertical="center"/>
    </xf>
    <xf numFmtId="1" fontId="23" fillId="3" borderId="40" xfId="4" quotePrefix="1" applyNumberFormat="1" applyFont="1" applyFill="1" applyBorder="1" applyAlignment="1">
      <alignment horizontal="center" vertical="center"/>
    </xf>
    <xf numFmtId="1" fontId="23" fillId="28" borderId="54" xfId="4" applyNumberFormat="1" applyFont="1" applyFill="1" applyBorder="1" applyAlignment="1">
      <alignment horizontal="center" vertical="center"/>
    </xf>
    <xf numFmtId="1" fontId="23" fillId="3" borderId="9" xfId="4" quotePrefix="1" applyNumberFormat="1" applyFont="1" applyFill="1" applyBorder="1" applyAlignment="1">
      <alignment horizontal="center" vertical="center"/>
    </xf>
    <xf numFmtId="1" fontId="23" fillId="3" borderId="29" xfId="4" quotePrefix="1" applyNumberFormat="1" applyFont="1" applyFill="1" applyBorder="1" applyAlignment="1">
      <alignment horizontal="center" vertical="center"/>
    </xf>
    <xf numFmtId="1" fontId="23" fillId="41" borderId="49" xfId="4" applyNumberFormat="1" applyFont="1" applyFill="1" applyBorder="1" applyAlignment="1">
      <alignment horizontal="center" vertical="center"/>
    </xf>
    <xf numFmtId="1" fontId="25" fillId="22" borderId="55" xfId="4" applyNumberFormat="1" applyFont="1" applyFill="1" applyBorder="1" applyAlignment="1">
      <alignment horizontal="center" vertical="center"/>
    </xf>
    <xf numFmtId="1" fontId="23" fillId="27" borderId="56" xfId="4" applyNumberFormat="1" applyFont="1" applyFill="1" applyBorder="1" applyAlignment="1">
      <alignment horizontal="center" vertical="center"/>
    </xf>
    <xf numFmtId="167" fontId="24" fillId="27" borderId="10" xfId="4" applyNumberFormat="1" applyFont="1" applyFill="1" applyBorder="1" applyAlignment="1">
      <alignment horizontal="center" vertical="center"/>
    </xf>
    <xf numFmtId="1" fontId="23" fillId="27" borderId="35" xfId="5" applyNumberFormat="1" applyFont="1" applyFill="1" applyBorder="1" applyAlignment="1" applyProtection="1">
      <alignment horizontal="center" vertical="center"/>
    </xf>
    <xf numFmtId="167" fontId="24" fillId="27" borderId="26" xfId="4" applyNumberFormat="1" applyFont="1" applyFill="1" applyBorder="1" applyAlignment="1">
      <alignment horizontal="center" vertical="center"/>
    </xf>
    <xf numFmtId="167" fontId="24" fillId="27" borderId="5" xfId="4" applyNumberFormat="1" applyFont="1" applyFill="1" applyBorder="1" applyAlignment="1">
      <alignment horizontal="center" vertical="center"/>
    </xf>
    <xf numFmtId="1" fontId="23" fillId="30" borderId="40" xfId="4" quotePrefix="1" applyNumberFormat="1" applyFont="1" applyFill="1" applyBorder="1" applyAlignment="1">
      <alignment horizontal="center" vertical="center"/>
    </xf>
    <xf numFmtId="1" fontId="23" fillId="6" borderId="40" xfId="4" quotePrefix="1" applyNumberFormat="1" applyFont="1" applyFill="1" applyBorder="1" applyAlignment="1">
      <alignment horizontal="center" vertical="center"/>
    </xf>
    <xf numFmtId="1" fontId="23" fillId="31" borderId="40" xfId="4" quotePrefix="1" applyNumberFormat="1" applyFont="1" applyFill="1" applyBorder="1" applyAlignment="1">
      <alignment horizontal="center" vertical="center"/>
    </xf>
    <xf numFmtId="1" fontId="23" fillId="5" borderId="40" xfId="4" quotePrefix="1" applyNumberFormat="1" applyFont="1" applyFill="1" applyBorder="1" applyAlignment="1">
      <alignment horizontal="center" vertical="center"/>
    </xf>
    <xf numFmtId="1" fontId="23" fillId="32" borderId="40" xfId="4" quotePrefix="1" applyNumberFormat="1" applyFont="1" applyFill="1" applyBorder="1" applyAlignment="1">
      <alignment horizontal="center" vertical="center"/>
    </xf>
    <xf numFmtId="1" fontId="23" fillId="34" borderId="40" xfId="4" quotePrefix="1" applyNumberFormat="1" applyFont="1" applyFill="1" applyBorder="1" applyAlignment="1">
      <alignment horizontal="center" vertical="center"/>
    </xf>
    <xf numFmtId="1" fontId="23" fillId="26" borderId="40" xfId="4" quotePrefix="1" applyNumberFormat="1" applyFont="1" applyFill="1" applyBorder="1" applyAlignment="1">
      <alignment horizontal="center" vertical="center"/>
    </xf>
    <xf numFmtId="1" fontId="23" fillId="35" borderId="40" xfId="4" quotePrefix="1" applyNumberFormat="1" applyFont="1" applyFill="1" applyBorder="1" applyAlignment="1">
      <alignment horizontal="center" vertical="center"/>
    </xf>
    <xf numFmtId="1" fontId="23" fillId="36" borderId="40" xfId="4" quotePrefix="1" applyNumberFormat="1" applyFont="1" applyFill="1" applyBorder="1" applyAlignment="1">
      <alignment horizontal="center" vertical="center"/>
    </xf>
    <xf numFmtId="1" fontId="23" fillId="4" borderId="40" xfId="4" quotePrefix="1" applyNumberFormat="1" applyFont="1" applyFill="1" applyBorder="1" applyAlignment="1">
      <alignment horizontal="center" vertical="center"/>
    </xf>
    <xf numFmtId="1" fontId="23" fillId="25" borderId="40" xfId="4" quotePrefix="1" applyNumberFormat="1" applyFont="1" applyFill="1" applyBorder="1" applyAlignment="1">
      <alignment horizontal="center" vertical="center"/>
    </xf>
    <xf numFmtId="1" fontId="23" fillId="40" borderId="40" xfId="4" quotePrefix="1" applyNumberFormat="1" applyFont="1" applyFill="1" applyBorder="1" applyAlignment="1">
      <alignment horizontal="center" vertical="center"/>
    </xf>
    <xf numFmtId="1" fontId="23" fillId="41" borderId="40" xfId="4" quotePrefix="1" applyNumberFormat="1" applyFont="1" applyFill="1" applyBorder="1" applyAlignment="1">
      <alignment horizontal="center" vertical="center"/>
    </xf>
    <xf numFmtId="1" fontId="23" fillId="22" borderId="40" xfId="4" quotePrefix="1" applyNumberFormat="1" applyFont="1" applyFill="1" applyBorder="1" applyAlignment="1">
      <alignment horizontal="center" vertical="center"/>
    </xf>
    <xf numFmtId="167" fontId="22" fillId="2" borderId="1" xfId="4" applyNumberFormat="1" applyFont="1" applyFill="1" applyBorder="1" applyAlignment="1">
      <alignment horizontal="center" vertical="center"/>
    </xf>
    <xf numFmtId="0" fontId="24" fillId="27" borderId="0" xfId="4" applyFont="1" applyFill="1" applyAlignment="1">
      <alignment horizontal="center"/>
    </xf>
    <xf numFmtId="1" fontId="23" fillId="28" borderId="48" xfId="4" applyNumberFormat="1" applyFont="1" applyFill="1" applyBorder="1" applyAlignment="1">
      <alignment horizontal="center" textRotation="52"/>
    </xf>
    <xf numFmtId="1" fontId="23" fillId="27" borderId="57" xfId="4" applyNumberFormat="1" applyFont="1" applyFill="1" applyBorder="1" applyAlignment="1">
      <alignment horizontal="center" textRotation="52"/>
    </xf>
    <xf numFmtId="1" fontId="23" fillId="28" borderId="57" xfId="4" applyNumberFormat="1" applyFont="1" applyFill="1" applyBorder="1" applyAlignment="1">
      <alignment horizontal="center" textRotation="52"/>
    </xf>
    <xf numFmtId="1" fontId="23" fillId="30" borderId="57" xfId="4" applyNumberFormat="1" applyFont="1" applyFill="1" applyBorder="1" applyAlignment="1">
      <alignment horizontal="center" textRotation="52"/>
    </xf>
    <xf numFmtId="1" fontId="23" fillId="6" borderId="57" xfId="4" applyNumberFormat="1" applyFont="1" applyFill="1" applyBorder="1" applyAlignment="1">
      <alignment horizontal="center" textRotation="52"/>
    </xf>
    <xf numFmtId="1" fontId="25" fillId="31" borderId="57" xfId="4" applyNumberFormat="1" applyFont="1" applyFill="1" applyBorder="1" applyAlignment="1">
      <alignment horizontal="center" textRotation="52"/>
    </xf>
    <xf numFmtId="1" fontId="25" fillId="5" borderId="57" xfId="4" applyNumberFormat="1" applyFont="1" applyFill="1" applyBorder="1" applyAlignment="1">
      <alignment horizontal="center" textRotation="52"/>
    </xf>
    <xf numFmtId="1" fontId="27" fillId="27" borderId="57" xfId="4" applyNumberFormat="1" applyFont="1" applyFill="1" applyBorder="1" applyAlignment="1">
      <alignment horizontal="center" textRotation="52"/>
    </xf>
    <xf numFmtId="1" fontId="23" fillId="32" borderId="57" xfId="4" applyNumberFormat="1" applyFont="1" applyFill="1" applyBorder="1" applyAlignment="1">
      <alignment horizontal="center" textRotation="52"/>
    </xf>
    <xf numFmtId="1" fontId="25" fillId="34" borderId="57" xfId="4" applyNumberFormat="1" applyFont="1" applyFill="1" applyBorder="1" applyAlignment="1">
      <alignment horizontal="center" textRotation="52"/>
    </xf>
    <xf numFmtId="1" fontId="25" fillId="26" borderId="57" xfId="4" applyNumberFormat="1" applyFont="1" applyFill="1" applyBorder="1" applyAlignment="1">
      <alignment horizontal="center" textRotation="52"/>
    </xf>
    <xf numFmtId="1" fontId="25" fillId="35" borderId="57" xfId="4" applyNumberFormat="1" applyFont="1" applyFill="1" applyBorder="1" applyAlignment="1">
      <alignment horizontal="center" textRotation="52"/>
    </xf>
    <xf numFmtId="1" fontId="23" fillId="36" borderId="57" xfId="4" applyNumberFormat="1" applyFont="1" applyFill="1" applyBorder="1" applyAlignment="1">
      <alignment horizontal="center" textRotation="52"/>
    </xf>
    <xf numFmtId="1" fontId="23" fillId="4" borderId="57" xfId="4" applyNumberFormat="1" applyFont="1" applyFill="1" applyBorder="1" applyAlignment="1">
      <alignment horizontal="center" textRotation="52"/>
    </xf>
    <xf numFmtId="1" fontId="23" fillId="25" borderId="57" xfId="4" applyNumberFormat="1" applyFont="1" applyFill="1" applyBorder="1" applyAlignment="1">
      <alignment horizontal="center" textRotation="52"/>
    </xf>
    <xf numFmtId="1" fontId="23" fillId="40" borderId="57" xfId="4" applyNumberFormat="1" applyFont="1" applyFill="1" applyBorder="1" applyAlignment="1">
      <alignment horizontal="center" textRotation="52"/>
    </xf>
    <xf numFmtId="1" fontId="23" fillId="41" borderId="57" xfId="4" applyNumberFormat="1" applyFont="1" applyFill="1" applyBorder="1" applyAlignment="1">
      <alignment horizontal="center" textRotation="52"/>
    </xf>
    <xf numFmtId="1" fontId="25" fillId="22" borderId="57" xfId="4" applyNumberFormat="1" applyFont="1" applyFill="1" applyBorder="1" applyAlignment="1">
      <alignment horizontal="center" textRotation="52"/>
    </xf>
    <xf numFmtId="1" fontId="23" fillId="27" borderId="19" xfId="4" applyNumberFormat="1" applyFont="1" applyFill="1" applyBorder="1" applyAlignment="1">
      <alignment horizontal="center" textRotation="52"/>
    </xf>
    <xf numFmtId="1" fontId="23" fillId="27" borderId="58" xfId="4" applyNumberFormat="1" applyFont="1" applyFill="1" applyBorder="1" applyAlignment="1">
      <alignment horizontal="center" textRotation="52"/>
    </xf>
    <xf numFmtId="0" fontId="28" fillId="16" borderId="57" xfId="4" applyFont="1" applyFill="1" applyBorder="1" applyAlignment="1">
      <alignment horizontal="center" textRotation="52"/>
    </xf>
    <xf numFmtId="0" fontId="28" fillId="33" borderId="57" xfId="4" applyFont="1" applyFill="1" applyBorder="1" applyAlignment="1">
      <alignment horizontal="center" textRotation="52"/>
    </xf>
    <xf numFmtId="0" fontId="28" fillId="14" borderId="57" xfId="4" applyFont="1" applyFill="1" applyBorder="1" applyAlignment="1">
      <alignment horizontal="center" textRotation="52"/>
    </xf>
    <xf numFmtId="0" fontId="28" fillId="39" borderId="57" xfId="4" applyFont="1" applyFill="1" applyBorder="1" applyAlignment="1">
      <alignment horizontal="center" textRotation="52"/>
    </xf>
    <xf numFmtId="0" fontId="28" fillId="25" borderId="57" xfId="4" applyFont="1" applyFill="1" applyBorder="1" applyAlignment="1">
      <alignment horizontal="center" textRotation="52"/>
    </xf>
    <xf numFmtId="0" fontId="28" fillId="16" borderId="48" xfId="4" applyFont="1" applyFill="1" applyBorder="1" applyAlignment="1">
      <alignment horizontal="center" textRotation="52"/>
    </xf>
    <xf numFmtId="1" fontId="23" fillId="29" borderId="21" xfId="4" applyNumberFormat="1" applyFont="1" applyFill="1" applyBorder="1" applyAlignment="1">
      <alignment horizontal="left" textRotation="52"/>
    </xf>
    <xf numFmtId="0" fontId="24" fillId="27" borderId="0" xfId="4" applyFont="1" applyFill="1"/>
    <xf numFmtId="0" fontId="23" fillId="24" borderId="0" xfId="4" applyFont="1" applyFill="1"/>
    <xf numFmtId="1" fontId="23" fillId="24" borderId="0" xfId="4" applyNumberFormat="1" applyFont="1" applyFill="1" applyAlignment="1">
      <alignment horizontal="center"/>
    </xf>
    <xf numFmtId="1" fontId="23" fillId="24" borderId="0" xfId="4" applyNumberFormat="1" applyFont="1" applyFill="1" applyAlignment="1">
      <alignment horizontal="left"/>
    </xf>
    <xf numFmtId="0" fontId="22" fillId="27" borderId="16" xfId="4" applyFont="1" applyFill="1" applyBorder="1"/>
    <xf numFmtId="2" fontId="24" fillId="27" borderId="0" xfId="4" applyNumberFormat="1" applyFont="1" applyFill="1"/>
    <xf numFmtId="2" fontId="28" fillId="27" borderId="0" xfId="4" applyNumberFormat="1" applyFont="1" applyFill="1"/>
    <xf numFmtId="0" fontId="29" fillId="27" borderId="0" xfId="4" applyFont="1" applyFill="1"/>
    <xf numFmtId="167" fontId="28" fillId="27" borderId="0" xfId="4" applyNumberFormat="1" applyFont="1" applyFill="1"/>
    <xf numFmtId="0" fontId="3" fillId="3" borderId="1" xfId="0" applyFont="1" applyFill="1" applyBorder="1" applyProtection="1"/>
    <xf numFmtId="0" fontId="0" fillId="3" borderId="1" xfId="0" applyFill="1" applyBorder="1" applyAlignment="1" applyProtection="1">
      <alignment horizontal="center"/>
    </xf>
    <xf numFmtId="0" fontId="10" fillId="3" borderId="24"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0" fillId="2" borderId="24" xfId="0" applyFill="1" applyBorder="1" applyAlignment="1" applyProtection="1">
      <alignment horizontal="center" vertical="center"/>
    </xf>
    <xf numFmtId="174" fontId="10" fillId="2" borderId="24" xfId="2" applyNumberFormat="1" applyFont="1" applyFill="1" applyBorder="1" applyAlignment="1" applyProtection="1">
      <alignment horizontal="center" vertical="center"/>
    </xf>
    <xf numFmtId="0" fontId="31" fillId="0" borderId="0" xfId="0" applyFont="1" applyProtection="1"/>
    <xf numFmtId="0" fontId="10" fillId="3" borderId="6" xfId="0" applyFont="1" applyFill="1" applyBorder="1" applyAlignment="1" applyProtection="1">
      <alignment horizontal="center"/>
      <protection locked="0"/>
    </xf>
    <xf numFmtId="0" fontId="11" fillId="3" borderId="6" xfId="0" applyFont="1" applyFill="1" applyBorder="1" applyAlignment="1" applyProtection="1"/>
    <xf numFmtId="0" fontId="0" fillId="3" borderId="2" xfId="0"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top" wrapText="1"/>
    </xf>
    <xf numFmtId="169" fontId="6" fillId="3" borderId="2" xfId="0" applyNumberFormat="1" applyFont="1" applyFill="1" applyBorder="1" applyAlignment="1" applyProtection="1"/>
    <xf numFmtId="167" fontId="4" fillId="3" borderId="1" xfId="0" applyNumberFormat="1" applyFont="1" applyFill="1" applyBorder="1" applyAlignment="1" applyProtection="1">
      <alignment horizontal="center"/>
    </xf>
    <xf numFmtId="167" fontId="4" fillId="3" borderId="0" xfId="0" applyNumberFormat="1" applyFont="1" applyFill="1" applyBorder="1" applyAlignment="1" applyProtection="1">
      <alignment wrapText="1"/>
    </xf>
    <xf numFmtId="9" fontId="0" fillId="3" borderId="1" xfId="0" applyNumberFormat="1" applyFill="1" applyBorder="1" applyAlignment="1" applyProtection="1">
      <alignment horizontal="center" vertical="center"/>
    </xf>
    <xf numFmtId="9" fontId="3" fillId="3" borderId="0" xfId="2"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xf>
    <xf numFmtId="173" fontId="0" fillId="0" borderId="0" xfId="1" applyNumberFormat="1" applyFont="1"/>
    <xf numFmtId="0" fontId="32" fillId="0" borderId="0" xfId="0" applyFont="1"/>
    <xf numFmtId="167" fontId="32" fillId="0" borderId="0" xfId="0" applyNumberFormat="1" applyFont="1"/>
    <xf numFmtId="172" fontId="32" fillId="0" borderId="0" xfId="0" applyNumberFormat="1" applyFont="1"/>
    <xf numFmtId="2" fontId="32" fillId="0" borderId="0" xfId="0" applyNumberFormat="1" applyFont="1"/>
    <xf numFmtId="2" fontId="32" fillId="0" borderId="0" xfId="0" applyNumberFormat="1" applyFont="1" applyAlignment="1">
      <alignment horizontal="center"/>
    </xf>
    <xf numFmtId="0" fontId="33" fillId="0" borderId="0" xfId="0" applyFont="1"/>
    <xf numFmtId="178" fontId="34" fillId="0" borderId="0" xfId="0" applyNumberFormat="1" applyFont="1"/>
    <xf numFmtId="178" fontId="35" fillId="0" borderId="0" xfId="0" applyNumberFormat="1" applyFont="1"/>
    <xf numFmtId="167" fontId="33" fillId="0" borderId="0" xfId="0" applyNumberFormat="1" applyFont="1"/>
    <xf numFmtId="172" fontId="33" fillId="0" borderId="0" xfId="0" applyNumberFormat="1" applyFont="1"/>
    <xf numFmtId="2" fontId="33" fillId="0" borderId="0" xfId="0" applyNumberFormat="1" applyFont="1"/>
    <xf numFmtId="2" fontId="33" fillId="0" borderId="0" xfId="0" applyNumberFormat="1" applyFont="1" applyAlignment="1">
      <alignment horizontal="center"/>
    </xf>
    <xf numFmtId="0" fontId="32" fillId="42" borderId="5" xfId="0" applyFont="1" applyFill="1" applyBorder="1"/>
    <xf numFmtId="0" fontId="32" fillId="42" borderId="7" xfId="0" applyFont="1" applyFill="1" applyBorder="1"/>
    <xf numFmtId="167" fontId="35" fillId="23" borderId="6" xfId="0" applyNumberFormat="1" applyFont="1" applyFill="1" applyBorder="1" applyAlignment="1">
      <alignment horizontal="center" vertical="center"/>
    </xf>
    <xf numFmtId="167" fontId="35" fillId="43" borderId="6" xfId="0" applyNumberFormat="1" applyFont="1" applyFill="1" applyBorder="1" applyAlignment="1">
      <alignment horizontal="center" vertical="center"/>
    </xf>
    <xf numFmtId="172" fontId="35" fillId="44" borderId="5" xfId="0" applyNumberFormat="1" applyFont="1" applyFill="1" applyBorder="1"/>
    <xf numFmtId="167" fontId="35" fillId="45" borderId="5" xfId="0" applyNumberFormat="1" applyFont="1" applyFill="1" applyBorder="1"/>
    <xf numFmtId="167" fontId="35" fillId="45" borderId="0" xfId="0" applyNumberFormat="1" applyFont="1" applyFill="1"/>
    <xf numFmtId="167" fontId="35" fillId="45" borderId="0" xfId="0" applyNumberFormat="1" applyFont="1" applyFill="1" applyAlignment="1">
      <alignment horizontal="center"/>
    </xf>
    <xf numFmtId="0" fontId="35" fillId="42" borderId="10" xfId="0" applyFont="1" applyFill="1" applyBorder="1"/>
    <xf numFmtId="0" fontId="35" fillId="42" borderId="25" xfId="0" applyFont="1" applyFill="1" applyBorder="1"/>
    <xf numFmtId="167" fontId="35" fillId="23" borderId="0" xfId="0" applyNumberFormat="1" applyFont="1" applyFill="1" applyAlignment="1">
      <alignment horizontal="center" vertical="center"/>
    </xf>
    <xf numFmtId="167" fontId="35" fillId="43" borderId="0" xfId="0" applyNumberFormat="1" applyFont="1" applyFill="1" applyAlignment="1">
      <alignment horizontal="center" vertical="center"/>
    </xf>
    <xf numFmtId="172" fontId="37" fillId="44" borderId="10" xfId="8" applyNumberFormat="1" applyFont="1" applyFill="1" applyBorder="1"/>
    <xf numFmtId="0" fontId="37" fillId="45" borderId="10" xfId="8" applyFont="1" applyFill="1" applyBorder="1"/>
    <xf numFmtId="0" fontId="37" fillId="45" borderId="0" xfId="8" applyFont="1" applyFill="1"/>
    <xf numFmtId="0" fontId="38" fillId="45" borderId="0" xfId="8" applyFont="1" applyFill="1" applyAlignment="1">
      <alignment horizontal="center" wrapText="1"/>
    </xf>
    <xf numFmtId="0" fontId="39" fillId="0" borderId="0" xfId="0" applyFont="1"/>
    <xf numFmtId="178" fontId="35" fillId="42" borderId="25" xfId="0" applyNumberFormat="1" applyFont="1" applyFill="1" applyBorder="1"/>
    <xf numFmtId="178" fontId="35" fillId="42" borderId="10" xfId="0" applyNumberFormat="1" applyFont="1" applyFill="1" applyBorder="1"/>
    <xf numFmtId="0" fontId="39" fillId="23" borderId="0" xfId="0" applyFont="1" applyFill="1" applyAlignment="1">
      <alignment horizontal="center" vertical="center"/>
    </xf>
    <xf numFmtId="0" fontId="39" fillId="43" borderId="0" xfId="0" applyFont="1" applyFill="1" applyAlignment="1">
      <alignment horizontal="center" vertical="center"/>
    </xf>
    <xf numFmtId="0" fontId="32" fillId="42" borderId="10" xfId="0" applyFont="1" applyFill="1" applyBorder="1"/>
    <xf numFmtId="0" fontId="32" fillId="42" borderId="25" xfId="0" applyFont="1" applyFill="1" applyBorder="1"/>
    <xf numFmtId="179" fontId="35" fillId="23" borderId="0" xfId="2" applyNumberFormat="1" applyFont="1" applyFill="1" applyBorder="1" applyAlignment="1">
      <alignment horizontal="center" vertical="center"/>
    </xf>
    <xf numFmtId="179" fontId="35" fillId="43" borderId="0" xfId="2" applyNumberFormat="1" applyFont="1" applyFill="1" applyBorder="1" applyAlignment="1">
      <alignment horizontal="center" vertical="center"/>
    </xf>
    <xf numFmtId="172" fontId="38" fillId="44" borderId="10" xfId="8" applyNumberFormat="1" applyFont="1" applyFill="1" applyBorder="1"/>
    <xf numFmtId="0" fontId="38" fillId="45" borderId="10" xfId="8" applyFont="1" applyFill="1" applyBorder="1"/>
    <xf numFmtId="0" fontId="38" fillId="45" borderId="0" xfId="8" applyFont="1" applyFill="1"/>
    <xf numFmtId="0" fontId="37" fillId="45" borderId="0" xfId="8" applyFont="1" applyFill="1" applyAlignment="1">
      <alignment horizontal="center" wrapText="1"/>
    </xf>
    <xf numFmtId="0" fontId="32" fillId="42" borderId="26" xfId="0" applyFont="1" applyFill="1" applyBorder="1"/>
    <xf numFmtId="0" fontId="32" fillId="42" borderId="4" xfId="0" applyFont="1" applyFill="1" applyBorder="1"/>
    <xf numFmtId="167" fontId="32" fillId="23" borderId="24" xfId="0" applyNumberFormat="1" applyFont="1" applyFill="1" applyBorder="1" applyAlignment="1">
      <alignment horizontal="center" vertical="center"/>
    </xf>
    <xf numFmtId="167" fontId="32" fillId="43" borderId="24" xfId="0" applyNumberFormat="1" applyFont="1" applyFill="1" applyBorder="1" applyAlignment="1">
      <alignment horizontal="center" vertical="center"/>
    </xf>
    <xf numFmtId="172" fontId="32" fillId="44" borderId="26" xfId="0" applyNumberFormat="1" applyFont="1" applyFill="1" applyBorder="1"/>
    <xf numFmtId="2" fontId="32" fillId="45" borderId="26" xfId="0" applyNumberFormat="1" applyFont="1" applyFill="1" applyBorder="1"/>
    <xf numFmtId="2" fontId="32" fillId="45" borderId="24" xfId="0" applyNumberFormat="1" applyFont="1" applyFill="1" applyBorder="1"/>
    <xf numFmtId="2" fontId="32" fillId="45" borderId="24" xfId="0" applyNumberFormat="1" applyFont="1" applyFill="1" applyBorder="1" applyAlignment="1">
      <alignment horizontal="center"/>
    </xf>
    <xf numFmtId="0" fontId="32" fillId="0" borderId="10" xfId="0" applyFont="1" applyBorder="1"/>
    <xf numFmtId="0" fontId="32" fillId="0" borderId="25" xfId="0" applyFont="1" applyBorder="1"/>
    <xf numFmtId="167" fontId="32" fillId="0" borderId="0" xfId="0" applyNumberFormat="1" applyFont="1" applyAlignment="1">
      <alignment horizontal="right"/>
    </xf>
    <xf numFmtId="172" fontId="32" fillId="0" borderId="10" xfId="0" applyNumberFormat="1" applyFont="1" applyBorder="1"/>
    <xf numFmtId="2" fontId="32" fillId="0" borderId="25" xfId="0" applyNumberFormat="1" applyFont="1" applyBorder="1"/>
    <xf numFmtId="2" fontId="32" fillId="0" borderId="10" xfId="0" applyNumberFormat="1" applyFont="1" applyBorder="1"/>
    <xf numFmtId="2" fontId="32" fillId="46" borderId="25" xfId="0" applyNumberFormat="1" applyFont="1" applyFill="1" applyBorder="1"/>
    <xf numFmtId="2" fontId="32" fillId="47" borderId="25" xfId="0" applyNumberFormat="1" applyFont="1" applyFill="1" applyBorder="1"/>
    <xf numFmtId="0" fontId="32" fillId="48" borderId="10" xfId="0" applyFont="1" applyFill="1" applyBorder="1"/>
    <xf numFmtId="0" fontId="32" fillId="48" borderId="25" xfId="0" applyFont="1" applyFill="1" applyBorder="1"/>
    <xf numFmtId="180" fontId="32" fillId="0" borderId="25" xfId="0" applyNumberFormat="1" applyFont="1" applyBorder="1"/>
    <xf numFmtId="180" fontId="32" fillId="0" borderId="10" xfId="0" applyNumberFormat="1" applyFont="1" applyBorder="1"/>
    <xf numFmtId="0" fontId="32" fillId="49" borderId="10" xfId="0" applyFont="1" applyFill="1" applyBorder="1"/>
    <xf numFmtId="0" fontId="32" fillId="49" borderId="25" xfId="0" applyFont="1" applyFill="1" applyBorder="1"/>
    <xf numFmtId="0" fontId="32" fillId="0" borderId="10" xfId="0" applyFont="1" applyBorder="1" applyAlignment="1">
      <alignment vertical="center"/>
    </xf>
    <xf numFmtId="0" fontId="32" fillId="0" borderId="25" xfId="0" applyFont="1" applyBorder="1" applyAlignment="1">
      <alignment vertical="center"/>
    </xf>
    <xf numFmtId="0" fontId="33" fillId="0" borderId="10" xfId="0" applyFont="1" applyBorder="1"/>
    <xf numFmtId="0" fontId="33" fillId="0" borderId="10" xfId="0" applyFont="1" applyBorder="1" applyAlignment="1">
      <alignment vertical="top"/>
    </xf>
    <xf numFmtId="167" fontId="32" fillId="4" borderId="0" xfId="0" applyNumberFormat="1" applyFont="1" applyFill="1"/>
    <xf numFmtId="0" fontId="33" fillId="0" borderId="0" xfId="0" applyFont="1" applyAlignment="1">
      <alignment vertical="top"/>
    </xf>
    <xf numFmtId="181" fontId="32" fillId="0" borderId="0" xfId="0" applyNumberFormat="1" applyFont="1"/>
    <xf numFmtId="0" fontId="32" fillId="0" borderId="10" xfId="0" applyFont="1" applyBorder="1" applyAlignment="1">
      <alignment vertical="top"/>
    </xf>
    <xf numFmtId="0" fontId="32" fillId="0" borderId="25" xfId="0" applyFont="1" applyBorder="1" applyAlignment="1">
      <alignment vertical="top"/>
    </xf>
    <xf numFmtId="0" fontId="32" fillId="0" borderId="10" xfId="0" applyFont="1" applyBorder="1" applyAlignment="1">
      <alignment wrapText="1"/>
    </xf>
    <xf numFmtId="0" fontId="32" fillId="0" borderId="25" xfId="0" applyFont="1" applyBorder="1" applyAlignment="1">
      <alignment wrapText="1"/>
    </xf>
    <xf numFmtId="0" fontId="40" fillId="0" borderId="10" xfId="0" applyFont="1" applyBorder="1" applyAlignment="1">
      <alignment wrapText="1"/>
    </xf>
    <xf numFmtId="0" fontId="40" fillId="0" borderId="25" xfId="0" applyFont="1" applyBorder="1" applyAlignment="1">
      <alignment wrapText="1"/>
    </xf>
    <xf numFmtId="0" fontId="33" fillId="0" borderId="25" xfId="0" applyFont="1" applyBorder="1"/>
    <xf numFmtId="0" fontId="32" fillId="49" borderId="10" xfId="0" applyFont="1" applyFill="1" applyBorder="1" applyAlignment="1">
      <alignment wrapText="1"/>
    </xf>
    <xf numFmtId="0" fontId="33" fillId="49" borderId="25" xfId="0" applyFont="1" applyFill="1" applyBorder="1"/>
    <xf numFmtId="0" fontId="33" fillId="49" borderId="10" xfId="0" applyFont="1" applyFill="1" applyBorder="1"/>
    <xf numFmtId="0" fontId="32" fillId="50" borderId="10" xfId="0" applyFont="1" applyFill="1" applyBorder="1" applyAlignment="1">
      <alignment wrapText="1"/>
    </xf>
    <xf numFmtId="0" fontId="33" fillId="50" borderId="25" xfId="0" applyFont="1" applyFill="1" applyBorder="1"/>
    <xf numFmtId="0" fontId="32" fillId="50" borderId="10" xfId="0" applyFont="1" applyFill="1" applyBorder="1"/>
    <xf numFmtId="0" fontId="32" fillId="5" borderId="10" xfId="0" applyFont="1" applyFill="1" applyBorder="1" applyAlignment="1">
      <alignment wrapText="1"/>
    </xf>
    <xf numFmtId="0" fontId="33" fillId="5" borderId="25" xfId="0" applyFont="1" applyFill="1" applyBorder="1"/>
    <xf numFmtId="0" fontId="32" fillId="4" borderId="10" xfId="0" applyFont="1" applyFill="1" applyBorder="1" applyAlignment="1">
      <alignment wrapText="1"/>
    </xf>
    <xf numFmtId="0" fontId="33" fillId="4" borderId="25" xfId="0" applyFont="1" applyFill="1" applyBorder="1"/>
    <xf numFmtId="0" fontId="32" fillId="51" borderId="10" xfId="0" applyFont="1" applyFill="1" applyBorder="1"/>
    <xf numFmtId="0" fontId="40" fillId="0" borderId="10" xfId="0" applyFont="1" applyBorder="1"/>
    <xf numFmtId="0" fontId="40" fillId="0" borderId="25" xfId="0" applyFont="1" applyBorder="1"/>
    <xf numFmtId="2" fontId="40" fillId="0" borderId="10" xfId="0" applyNumberFormat="1" applyFont="1" applyBorder="1" applyAlignment="1">
      <alignment vertical="center"/>
    </xf>
    <xf numFmtId="0" fontId="32" fillId="52" borderId="10" xfId="0" applyFont="1" applyFill="1" applyBorder="1"/>
    <xf numFmtId="0" fontId="32" fillId="52" borderId="25" xfId="0" applyFont="1" applyFill="1" applyBorder="1"/>
    <xf numFmtId="0" fontId="32" fillId="6" borderId="10" xfId="0" applyFont="1" applyFill="1" applyBorder="1"/>
    <xf numFmtId="0" fontId="32" fillId="6" borderId="25" xfId="0" applyFont="1" applyFill="1" applyBorder="1"/>
    <xf numFmtId="0" fontId="32" fillId="53" borderId="10" xfId="0" applyFont="1" applyFill="1" applyBorder="1"/>
    <xf numFmtId="0" fontId="32" fillId="4" borderId="25" xfId="0" applyFont="1" applyFill="1" applyBorder="1"/>
    <xf numFmtId="179" fontId="32" fillId="0" borderId="10" xfId="2" applyNumberFormat="1" applyFont="1" applyBorder="1" applyAlignment="1"/>
    <xf numFmtId="2" fontId="32" fillId="0" borderId="10" xfId="0" applyNumberFormat="1" applyFont="1" applyBorder="1" applyAlignment="1">
      <alignment vertical="center"/>
    </xf>
    <xf numFmtId="0" fontId="0" fillId="44" borderId="0" xfId="0" applyFill="1"/>
    <xf numFmtId="0" fontId="32" fillId="44" borderId="25" xfId="0" applyFont="1" applyFill="1" applyBorder="1"/>
    <xf numFmtId="0" fontId="32" fillId="44" borderId="10" xfId="0" applyFont="1" applyFill="1" applyBorder="1"/>
    <xf numFmtId="167" fontId="0" fillId="44" borderId="0" xfId="0" applyNumberFormat="1" applyFill="1"/>
    <xf numFmtId="0" fontId="13" fillId="0" borderId="10" xfId="0" applyFont="1" applyBorder="1"/>
    <xf numFmtId="0" fontId="41" fillId="0" borderId="10" xfId="0" applyFont="1" applyBorder="1"/>
    <xf numFmtId="0" fontId="41" fillId="0" borderId="25" xfId="0" applyFont="1" applyBorder="1"/>
    <xf numFmtId="0" fontId="32" fillId="54" borderId="10" xfId="0" applyFont="1" applyFill="1" applyBorder="1"/>
    <xf numFmtId="0" fontId="32" fillId="54" borderId="25" xfId="0" applyFont="1" applyFill="1" applyBorder="1"/>
    <xf numFmtId="167" fontId="32" fillId="6" borderId="0" xfId="0" applyNumberFormat="1" applyFont="1" applyFill="1"/>
    <xf numFmtId="167" fontId="32" fillId="6" borderId="0" xfId="0" applyNumberFormat="1" applyFont="1" applyFill="1" applyAlignment="1">
      <alignment horizontal="right"/>
    </xf>
    <xf numFmtId="0" fontId="32" fillId="5" borderId="10" xfId="0" applyFont="1" applyFill="1" applyBorder="1"/>
    <xf numFmtId="0" fontId="32" fillId="5" borderId="25" xfId="0" applyFont="1" applyFill="1" applyBorder="1"/>
    <xf numFmtId="0" fontId="32" fillId="55" borderId="10" xfId="0" applyFont="1" applyFill="1" applyBorder="1"/>
    <xf numFmtId="0" fontId="32" fillId="55" borderId="25" xfId="0" applyFont="1" applyFill="1" applyBorder="1"/>
    <xf numFmtId="167" fontId="32" fillId="55" borderId="0" xfId="0" applyNumberFormat="1" applyFont="1" applyFill="1"/>
    <xf numFmtId="172" fontId="32" fillId="55" borderId="0" xfId="0" applyNumberFormat="1" applyFont="1" applyFill="1"/>
    <xf numFmtId="0" fontId="32" fillId="56" borderId="10" xfId="0" applyFont="1" applyFill="1" applyBorder="1"/>
    <xf numFmtId="0" fontId="32" fillId="56" borderId="25" xfId="0" applyFont="1" applyFill="1" applyBorder="1"/>
    <xf numFmtId="0" fontId="33" fillId="56" borderId="25" xfId="0" applyFont="1" applyFill="1" applyBorder="1"/>
    <xf numFmtId="0" fontId="32" fillId="4" borderId="10" xfId="0" applyFont="1" applyFill="1" applyBorder="1"/>
    <xf numFmtId="0" fontId="32" fillId="0" borderId="26" xfId="0" applyFont="1" applyBorder="1"/>
    <xf numFmtId="0" fontId="32" fillId="0" borderId="4" xfId="0" applyFont="1" applyBorder="1"/>
    <xf numFmtId="172" fontId="32" fillId="0" borderId="26" xfId="0" applyNumberFormat="1" applyFont="1" applyBorder="1"/>
    <xf numFmtId="2" fontId="32" fillId="0" borderId="4" xfId="0" applyNumberFormat="1" applyFont="1" applyBorder="1"/>
    <xf numFmtId="2" fontId="32" fillId="0" borderId="26" xfId="0" applyNumberFormat="1" applyFont="1" applyBorder="1"/>
    <xf numFmtId="0" fontId="33" fillId="0" borderId="0" xfId="0" applyFont="1" applyAlignment="1">
      <alignment horizontal="center"/>
    </xf>
    <xf numFmtId="0" fontId="2" fillId="0" borderId="0" xfId="0" applyFont="1" applyAlignment="1" applyProtection="1">
      <alignment horizontal="center"/>
    </xf>
    <xf numFmtId="0" fontId="0" fillId="0" borderId="0" xfId="0" applyAlignment="1" applyProtection="1">
      <alignment horizontal="left" wrapText="1" indent="1"/>
    </xf>
    <xf numFmtId="0" fontId="17" fillId="0" borderId="0" xfId="0" applyFont="1" applyAlignment="1" applyProtection="1">
      <alignment horizontal="left"/>
    </xf>
    <xf numFmtId="0" fontId="0" fillId="0" borderId="0" xfId="0" applyAlignment="1" applyProtection="1">
      <alignment wrapText="1"/>
    </xf>
    <xf numFmtId="0" fontId="15" fillId="0" borderId="0" xfId="0" applyFont="1" applyAlignment="1" applyProtection="1">
      <alignment horizontal="center" vertical="center" wrapText="1"/>
    </xf>
    <xf numFmtId="0" fontId="0" fillId="3" borderId="6" xfId="0" applyFill="1" applyBorder="1" applyAlignment="1" applyProtection="1">
      <alignment horizontal="center" wrapText="1"/>
    </xf>
    <xf numFmtId="0" fontId="0" fillId="3" borderId="0" xfId="0" applyFill="1" applyAlignment="1" applyProtection="1">
      <alignment horizontal="center" wrapText="1"/>
    </xf>
    <xf numFmtId="0" fontId="0" fillId="7" borderId="1" xfId="0" applyFill="1" applyBorder="1" applyAlignment="1" applyProtection="1">
      <alignment horizontal="center"/>
      <protection locked="0"/>
    </xf>
    <xf numFmtId="0" fontId="17" fillId="3" borderId="1"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ill="1" applyBorder="1" applyAlignment="1" applyProtection="1">
      <alignment horizontal="center"/>
      <protection locked="0"/>
    </xf>
    <xf numFmtId="172" fontId="19" fillId="20" borderId="27" xfId="0" quotePrefix="1" applyNumberFormat="1"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172" fontId="20" fillId="21" borderId="27" xfId="0" quotePrefix="1" applyNumberFormat="1" applyFont="1" applyFill="1" applyBorder="1" applyAlignment="1">
      <alignment horizontal="center"/>
    </xf>
    <xf numFmtId="172" fontId="20" fillId="21" borderId="28" xfId="0" quotePrefix="1" applyNumberFormat="1" applyFont="1" applyFill="1" applyBorder="1" applyAlignment="1">
      <alignment horizontal="center"/>
    </xf>
    <xf numFmtId="0" fontId="19" fillId="3" borderId="30" xfId="0" applyFont="1" applyFill="1" applyBorder="1" applyAlignment="1">
      <alignment horizontal="center"/>
    </xf>
    <xf numFmtId="2" fontId="19" fillId="17" borderId="27" xfId="0" quotePrefix="1" applyNumberFormat="1" applyFont="1" applyFill="1" applyBorder="1" applyAlignment="1">
      <alignment horizontal="center"/>
    </xf>
    <xf numFmtId="0" fontId="19" fillId="18" borderId="27" xfId="0" applyFont="1" applyFill="1" applyBorder="1" applyAlignment="1">
      <alignment horizontal="center"/>
    </xf>
    <xf numFmtId="172" fontId="19" fillId="19" borderId="27" xfId="0" quotePrefix="1" applyNumberFormat="1" applyFont="1" applyFill="1" applyBorder="1" applyAlignment="1">
      <alignment horizontal="center"/>
    </xf>
    <xf numFmtId="2" fontId="19" fillId="15" borderId="27" xfId="0" quotePrefix="1" applyNumberFormat="1" applyFont="1" applyFill="1" applyBorder="1" applyAlignment="1">
      <alignment horizontal="center"/>
    </xf>
    <xf numFmtId="2" fontId="19" fillId="15" borderId="28" xfId="0" quotePrefix="1" applyNumberFormat="1" applyFont="1" applyFill="1" applyBorder="1" applyAlignment="1">
      <alignment horizontal="center"/>
    </xf>
    <xf numFmtId="2" fontId="19" fillId="16" borderId="27" xfId="0" quotePrefix="1" applyNumberFormat="1" applyFont="1" applyFill="1" applyBorder="1" applyAlignment="1">
      <alignment horizontal="center"/>
    </xf>
    <xf numFmtId="2" fontId="19" fillId="0" borderId="27" xfId="0" quotePrefix="1" applyNumberFormat="1" applyFont="1" applyBorder="1" applyAlignment="1">
      <alignment horizontal="center"/>
    </xf>
    <xf numFmtId="2" fontId="19" fillId="12" borderId="27" xfId="0" quotePrefix="1" applyNumberFormat="1" applyFont="1" applyFill="1" applyBorder="1" applyAlignment="1">
      <alignment horizontal="center"/>
    </xf>
    <xf numFmtId="2" fontId="19" fillId="13" borderId="27" xfId="0" quotePrefix="1" applyNumberFormat="1" applyFont="1" applyFill="1" applyBorder="1" applyAlignment="1">
      <alignment horizontal="center"/>
    </xf>
    <xf numFmtId="2" fontId="19" fillId="14" borderId="27" xfId="0" quotePrefix="1" applyNumberFormat="1" applyFont="1" applyFill="1" applyBorder="1" applyAlignment="1">
      <alignment horizontal="center"/>
    </xf>
    <xf numFmtId="2" fontId="19" fillId="9" borderId="27" xfId="0" quotePrefix="1" applyNumberFormat="1" applyFont="1" applyFill="1" applyBorder="1" applyAlignment="1">
      <alignment horizontal="center"/>
    </xf>
    <xf numFmtId="2" fontId="19" fillId="10" borderId="27" xfId="0" quotePrefix="1" applyNumberFormat="1" applyFont="1" applyFill="1" applyBorder="1" applyAlignment="1">
      <alignment horizontal="center"/>
    </xf>
    <xf numFmtId="2" fontId="19" fillId="11" borderId="27" xfId="0" quotePrefix="1" applyNumberFormat="1" applyFont="1" applyFill="1" applyBorder="1" applyAlignment="1">
      <alignment horizontal="center"/>
    </xf>
    <xf numFmtId="167" fontId="19" fillId="23" borderId="29" xfId="0" quotePrefix="1" applyNumberFormat="1" applyFont="1" applyFill="1" applyBorder="1" applyAlignment="1">
      <alignment horizontal="center"/>
    </xf>
    <xf numFmtId="167" fontId="20" fillId="22" borderId="27" xfId="0" quotePrefix="1" applyNumberFormat="1" applyFont="1" applyFill="1" applyBorder="1" applyAlignment="1">
      <alignment horizontal="center"/>
    </xf>
    <xf numFmtId="167" fontId="19" fillId="8" borderId="27" xfId="0" quotePrefix="1" applyNumberFormat="1" applyFont="1" applyFill="1" applyBorder="1" applyAlignment="1">
      <alignment horizontal="center"/>
    </xf>
    <xf numFmtId="0" fontId="9" fillId="2" borderId="0" xfId="0" applyFont="1" applyFill="1" applyAlignment="1" applyProtection="1">
      <alignment horizontal="center"/>
    </xf>
    <xf numFmtId="0" fontId="0" fillId="0" borderId="1" xfId="0" applyBorder="1" applyAlignment="1" applyProtection="1">
      <alignment horizontal="center"/>
    </xf>
    <xf numFmtId="0" fontId="0" fillId="3" borderId="5" xfId="0" applyFill="1" applyBorder="1" applyAlignment="1" applyProtection="1">
      <alignment horizontal="center"/>
    </xf>
    <xf numFmtId="0" fontId="0" fillId="3" borderId="7" xfId="0" applyFill="1" applyBorder="1" applyAlignment="1" applyProtection="1">
      <alignment horizontal="center"/>
    </xf>
    <xf numFmtId="0" fontId="0" fillId="3" borderId="10" xfId="0" applyFill="1" applyBorder="1" applyAlignment="1" applyProtection="1">
      <alignment horizontal="center"/>
    </xf>
    <xf numFmtId="0" fontId="0" fillId="3" borderId="25" xfId="0" applyFill="1" applyBorder="1" applyAlignment="1" applyProtection="1">
      <alignment horizontal="center"/>
    </xf>
    <xf numFmtId="0" fontId="0" fillId="3" borderId="26" xfId="0" applyFill="1" applyBorder="1" applyAlignment="1" applyProtection="1">
      <alignment horizontal="center"/>
    </xf>
    <xf numFmtId="0" fontId="0" fillId="3" borderId="4" xfId="0" applyFill="1" applyBorder="1" applyAlignment="1" applyProtection="1">
      <alignment horizontal="center"/>
    </xf>
    <xf numFmtId="0" fontId="0" fillId="3" borderId="1" xfId="0" applyFill="1" applyBorder="1" applyAlignment="1" applyProtection="1">
      <alignment horizontal="center"/>
    </xf>
    <xf numFmtId="0" fontId="0" fillId="3" borderId="2" xfId="0" applyFill="1" applyBorder="1" applyAlignment="1" applyProtection="1">
      <alignment horizontal="center"/>
    </xf>
    <xf numFmtId="170" fontId="0" fillId="3" borderId="10" xfId="0" applyNumberFormat="1" applyFill="1" applyBorder="1" applyAlignment="1" applyProtection="1">
      <alignment horizontal="center"/>
    </xf>
    <xf numFmtId="170" fontId="0" fillId="3" borderId="0" xfId="0" applyNumberFormat="1" applyFill="1" applyBorder="1" applyAlignment="1" applyProtection="1">
      <alignment horizontal="center"/>
    </xf>
    <xf numFmtId="177" fontId="0" fillId="3" borderId="2" xfId="0" applyNumberFormat="1" applyFill="1" applyBorder="1" applyAlignment="1" applyProtection="1">
      <alignment horizontal="center"/>
    </xf>
    <xf numFmtId="177" fontId="0" fillId="3" borderId="8" xfId="0" applyNumberFormat="1" applyFill="1" applyBorder="1" applyAlignment="1" applyProtection="1">
      <alignment horizontal="center"/>
    </xf>
    <xf numFmtId="177" fontId="0" fillId="3" borderId="10" xfId="0" applyNumberFormat="1" applyFill="1" applyBorder="1" applyAlignment="1" applyProtection="1">
      <alignment horizontal="center"/>
    </xf>
    <xf numFmtId="177" fontId="0" fillId="3" borderId="0" xfId="0" applyNumberFormat="1" applyFill="1" applyBorder="1" applyAlignment="1" applyProtection="1">
      <alignment horizontal="center"/>
    </xf>
    <xf numFmtId="0" fontId="0" fillId="3" borderId="10"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15" fillId="3" borderId="1" xfId="0" applyFont="1" applyFill="1" applyBorder="1" applyAlignment="1" applyProtection="1">
      <alignment horizontal="left" vertical="center" wrapText="1"/>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3" borderId="0" xfId="0" applyFont="1" applyFill="1" applyBorder="1" applyAlignment="1" applyProtection="1">
      <alignment horizontal="center" wrapText="1"/>
    </xf>
    <xf numFmtId="0" fontId="0" fillId="3" borderId="1" xfId="0" applyFill="1" applyBorder="1" applyAlignment="1" applyProtection="1">
      <alignment horizontal="center" vertical="top" wrapText="1"/>
    </xf>
    <xf numFmtId="0" fontId="0" fillId="3" borderId="26"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2"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170" fontId="0" fillId="3" borderId="1" xfId="0" applyNumberFormat="1" applyFill="1" applyBorder="1" applyAlignment="1" applyProtection="1">
      <alignment horizontal="center"/>
    </xf>
    <xf numFmtId="171" fontId="0" fillId="3" borderId="1" xfId="0" applyNumberFormat="1" applyFill="1" applyBorder="1" applyAlignment="1" applyProtection="1">
      <alignment horizontal="center"/>
    </xf>
    <xf numFmtId="171" fontId="0" fillId="3" borderId="2" xfId="0" applyNumberFormat="1" applyFill="1" applyBorder="1" applyAlignment="1" applyProtection="1">
      <alignment horizontal="center"/>
    </xf>
    <xf numFmtId="0" fontId="0" fillId="3" borderId="1" xfId="0" applyFill="1" applyBorder="1" applyAlignment="1" applyProtection="1">
      <alignment horizontal="right" vertical="center"/>
    </xf>
    <xf numFmtId="0" fontId="9" fillId="2" borderId="0" xfId="0" applyFont="1" applyFill="1" applyAlignment="1" applyProtection="1">
      <alignment horizontal="center" vertical="center"/>
    </xf>
    <xf numFmtId="0" fontId="9" fillId="2" borderId="2" xfId="0" applyFont="1" applyFill="1" applyBorder="1" applyAlignment="1" applyProtection="1">
      <alignment horizontal="center"/>
    </xf>
    <xf numFmtId="0" fontId="9" fillId="2" borderId="8" xfId="0" applyFont="1" applyFill="1" applyBorder="1" applyAlignment="1" applyProtection="1">
      <alignment horizontal="center"/>
    </xf>
    <xf numFmtId="0" fontId="9" fillId="2" borderId="3" xfId="0" applyFont="1" applyFill="1" applyBorder="1" applyAlignment="1" applyProtection="1">
      <alignment horizontal="center"/>
    </xf>
    <xf numFmtId="0" fontId="3" fillId="3" borderId="1" xfId="0" applyFont="1" applyFill="1" applyBorder="1" applyAlignment="1" applyProtection="1">
      <alignment horizontal="center"/>
    </xf>
    <xf numFmtId="0" fontId="0" fillId="7" borderId="1" xfId="0" applyFill="1" applyBorder="1" applyAlignment="1" applyProtection="1">
      <alignment horizontal="center" wrapText="1"/>
      <protection locked="0"/>
    </xf>
    <xf numFmtId="0" fontId="0" fillId="7" borderId="2" xfId="0" applyFill="1" applyBorder="1" applyAlignment="1" applyProtection="1">
      <alignment horizontal="center" wrapText="1"/>
      <protection locked="0"/>
    </xf>
    <xf numFmtId="0" fontId="0" fillId="3" borderId="1" xfId="0" applyFill="1" applyBorder="1" applyAlignment="1" applyProtection="1">
      <alignment horizontal="center" wrapText="1"/>
    </xf>
    <xf numFmtId="0" fontId="0" fillId="3" borderId="2" xfId="0" applyFill="1" applyBorder="1" applyAlignment="1" applyProtection="1">
      <alignment horizontal="center" wrapText="1"/>
    </xf>
    <xf numFmtId="0" fontId="10" fillId="3" borderId="1" xfId="0" applyFont="1" applyFill="1" applyBorder="1" applyAlignment="1" applyProtection="1">
      <alignment horizontal="center" wrapText="1"/>
    </xf>
    <xf numFmtId="9" fontId="0" fillId="3" borderId="1" xfId="0" applyNumberFormat="1" applyFill="1" applyBorder="1" applyAlignment="1" applyProtection="1">
      <alignment horizontal="center" vertical="center"/>
    </xf>
    <xf numFmtId="9" fontId="3" fillId="3" borderId="0" xfId="2"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vertical="top" wrapText="1"/>
    </xf>
    <xf numFmtId="0" fontId="0" fillId="24" borderId="0" xfId="0" applyFill="1" applyBorder="1" applyAlignment="1" applyProtection="1">
      <alignment horizontal="center"/>
      <protection locked="0"/>
    </xf>
    <xf numFmtId="0" fontId="19" fillId="3" borderId="1" xfId="0" applyFont="1" applyFill="1" applyBorder="1" applyAlignment="1">
      <alignment horizontal="center"/>
    </xf>
    <xf numFmtId="0" fontId="19" fillId="3" borderId="29" xfId="0" applyFont="1" applyFill="1" applyBorder="1" applyAlignment="1">
      <alignment horizontal="center"/>
    </xf>
    <xf numFmtId="0" fontId="19" fillId="3" borderId="26" xfId="0" applyFont="1" applyFill="1" applyBorder="1" applyAlignment="1">
      <alignment horizontal="center"/>
    </xf>
    <xf numFmtId="0" fontId="0" fillId="24" borderId="1" xfId="0" applyFill="1" applyBorder="1" applyAlignment="1" applyProtection="1">
      <alignment horizontal="center"/>
    </xf>
    <xf numFmtId="0" fontId="0" fillId="24" borderId="2" xfId="0" applyFill="1" applyBorder="1" applyAlignment="1" applyProtection="1">
      <alignment horizontal="center"/>
    </xf>
    <xf numFmtId="170" fontId="0" fillId="24" borderId="10" xfId="0" applyNumberFormat="1" applyFill="1" applyBorder="1" applyAlignment="1" applyProtection="1">
      <alignment horizontal="center"/>
    </xf>
    <xf numFmtId="170" fontId="0" fillId="24" borderId="0" xfId="0" applyNumberFormat="1" applyFill="1" applyBorder="1" applyAlignment="1" applyProtection="1">
      <alignment horizontal="center"/>
    </xf>
    <xf numFmtId="177" fontId="0" fillId="24" borderId="2" xfId="0" applyNumberFormat="1" applyFill="1" applyBorder="1" applyAlignment="1" applyProtection="1">
      <alignment horizontal="center"/>
    </xf>
    <xf numFmtId="177" fontId="0" fillId="24" borderId="8" xfId="0" applyNumberFormat="1" applyFill="1" applyBorder="1" applyAlignment="1" applyProtection="1">
      <alignment horizontal="center"/>
    </xf>
    <xf numFmtId="177" fontId="0" fillId="24" borderId="10" xfId="0" applyNumberFormat="1" applyFill="1" applyBorder="1" applyAlignment="1" applyProtection="1">
      <alignment horizontal="center"/>
    </xf>
    <xf numFmtId="177" fontId="0" fillId="24" borderId="0" xfId="0" applyNumberFormat="1" applyFill="1" applyBorder="1" applyAlignment="1" applyProtection="1">
      <alignment horizontal="center"/>
    </xf>
    <xf numFmtId="167" fontId="4" fillId="3" borderId="1" xfId="0" applyNumberFormat="1" applyFont="1" applyFill="1" applyBorder="1" applyAlignment="1" applyProtection="1">
      <alignment horizontal="center"/>
    </xf>
    <xf numFmtId="0" fontId="2" fillId="2" borderId="8" xfId="0" applyFont="1" applyFill="1" applyBorder="1" applyAlignment="1" applyProtection="1">
      <alignment horizontal="right" vertical="center"/>
    </xf>
    <xf numFmtId="0" fontId="2" fillId="2" borderId="8" xfId="0" applyFont="1" applyFill="1" applyBorder="1" applyAlignment="1" applyProtection="1">
      <alignment horizontal="center"/>
    </xf>
    <xf numFmtId="0" fontId="16" fillId="3" borderId="0" xfId="0" applyFont="1" applyFill="1" applyBorder="1" applyAlignment="1" applyProtection="1">
      <alignment horizontal="center"/>
    </xf>
    <xf numFmtId="0" fontId="31" fillId="2" borderId="0" xfId="0" applyFont="1" applyFill="1" applyAlignment="1" applyProtection="1">
      <alignment horizontal="center"/>
    </xf>
    <xf numFmtId="0" fontId="10" fillId="2" borderId="24" xfId="0" applyFont="1" applyFill="1" applyBorder="1" applyAlignment="1" applyProtection="1">
      <alignment horizontal="center" vertical="center"/>
    </xf>
    <xf numFmtId="0" fontId="0" fillId="0" borderId="0" xfId="0" applyAlignment="1" applyProtection="1">
      <alignment horizontal="center" wrapText="1"/>
    </xf>
    <xf numFmtId="0" fontId="11" fillId="3" borderId="6" xfId="0" applyFont="1" applyFill="1" applyBorder="1" applyAlignment="1" applyProtection="1">
      <alignment horizontal="left"/>
    </xf>
    <xf numFmtId="0" fontId="0" fillId="3" borderId="2" xfId="0" applyFill="1" applyBorder="1" applyAlignment="1" applyProtection="1">
      <alignment horizontal="right"/>
    </xf>
    <xf numFmtId="0" fontId="0" fillId="3" borderId="8" xfId="0" applyFill="1" applyBorder="1" applyAlignment="1" applyProtection="1">
      <alignment horizontal="right"/>
    </xf>
    <xf numFmtId="0" fontId="0" fillId="3" borderId="3" xfId="0" applyFill="1" applyBorder="1" applyAlignment="1" applyProtection="1">
      <alignment horizontal="right"/>
    </xf>
    <xf numFmtId="0" fontId="11" fillId="3" borderId="24" xfId="0" applyFont="1" applyFill="1" applyBorder="1" applyAlignment="1" applyProtection="1">
      <alignment horizontal="left"/>
    </xf>
    <xf numFmtId="0" fontId="0" fillId="24" borderId="0" xfId="0" applyFill="1" applyAlignment="1" applyProtection="1">
      <alignment horizontal="center" wrapText="1"/>
    </xf>
    <xf numFmtId="0" fontId="2" fillId="2" borderId="24" xfId="0" applyFont="1" applyFill="1" applyBorder="1" applyAlignment="1" applyProtection="1">
      <alignment horizontal="right" vertical="center"/>
    </xf>
    <xf numFmtId="0" fontId="12" fillId="3" borderId="0" xfId="0" applyFont="1" applyFill="1" applyAlignment="1" applyProtection="1">
      <alignment horizontal="center"/>
    </xf>
    <xf numFmtId="0" fontId="17" fillId="2" borderId="8"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1" fillId="3" borderId="8" xfId="0" applyFont="1" applyFill="1" applyBorder="1" applyAlignment="1" applyProtection="1">
      <alignment horizontal="left"/>
    </xf>
    <xf numFmtId="0" fontId="11" fillId="3" borderId="0" xfId="0" applyFont="1" applyFill="1" applyAlignment="1" applyProtection="1">
      <alignment horizontal="left"/>
    </xf>
    <xf numFmtId="0" fontId="18" fillId="2" borderId="0" xfId="0" applyFont="1" applyFill="1" applyAlignment="1" applyProtection="1">
      <alignment horizontal="center"/>
    </xf>
    <xf numFmtId="0" fontId="0" fillId="3" borderId="2" xfId="0" applyFill="1" applyBorder="1" applyAlignment="1" applyProtection="1">
      <alignment horizontal="center" vertical="top"/>
    </xf>
    <xf numFmtId="0" fontId="0" fillId="3" borderId="8" xfId="0" applyFill="1" applyBorder="1" applyAlignment="1" applyProtection="1">
      <alignment horizontal="center" vertical="top"/>
    </xf>
    <xf numFmtId="0" fontId="0" fillId="3" borderId="3" xfId="0" applyFill="1" applyBorder="1" applyAlignment="1" applyProtection="1">
      <alignment horizontal="center" vertical="top"/>
    </xf>
    <xf numFmtId="0" fontId="0" fillId="3" borderId="2" xfId="0" applyFill="1" applyBorder="1" applyAlignment="1" applyProtection="1">
      <alignment horizontal="right" vertical="top"/>
    </xf>
    <xf numFmtId="0" fontId="0" fillId="3" borderId="8" xfId="0" applyFill="1" applyBorder="1" applyAlignment="1" applyProtection="1">
      <alignment horizontal="right" vertical="top"/>
    </xf>
    <xf numFmtId="0" fontId="0" fillId="3" borderId="3" xfId="0" applyFill="1" applyBorder="1" applyAlignment="1" applyProtection="1">
      <alignment horizontal="right" vertical="top"/>
    </xf>
    <xf numFmtId="0" fontId="2" fillId="2" borderId="6" xfId="0" applyFont="1" applyFill="1" applyBorder="1" applyAlignment="1" applyProtection="1">
      <alignment horizontal="right"/>
    </xf>
    <xf numFmtId="0" fontId="10" fillId="3" borderId="0" xfId="0" applyFont="1" applyFill="1" applyAlignment="1" applyProtection="1">
      <alignment horizontal="center"/>
    </xf>
    <xf numFmtId="0" fontId="0" fillId="3" borderId="6" xfId="0" applyFill="1" applyBorder="1" applyAlignment="1" applyProtection="1">
      <alignment horizontal="left"/>
    </xf>
    <xf numFmtId="0" fontId="23" fillId="24" borderId="16" xfId="4" applyFont="1" applyFill="1" applyBorder="1" applyAlignment="1">
      <alignment horizontal="center"/>
    </xf>
    <xf numFmtId="167" fontId="23" fillId="27" borderId="44" xfId="4" applyNumberFormat="1" applyFont="1" applyFill="1" applyBorder="1" applyAlignment="1">
      <alignment horizontal="center" vertical="center" wrapText="1"/>
    </xf>
    <xf numFmtId="167" fontId="23" fillId="27" borderId="6" xfId="4" applyNumberFormat="1" applyFont="1" applyFill="1" applyBorder="1" applyAlignment="1">
      <alignment horizontal="center" vertical="center" wrapText="1"/>
    </xf>
    <xf numFmtId="167" fontId="23" fillId="27" borderId="42" xfId="4" applyNumberFormat="1" applyFont="1" applyFill="1" applyBorder="1" applyAlignment="1">
      <alignment horizontal="center" vertical="center" wrapText="1"/>
    </xf>
    <xf numFmtId="167" fontId="23" fillId="27" borderId="43" xfId="4" applyNumberFormat="1" applyFont="1" applyFill="1" applyBorder="1" applyAlignment="1">
      <alignment horizontal="center" vertical="center" wrapText="1"/>
    </xf>
    <xf numFmtId="167" fontId="23" fillId="27" borderId="24" xfId="4" applyNumberFormat="1" applyFont="1" applyFill="1" applyBorder="1" applyAlignment="1">
      <alignment horizontal="center" vertical="center" wrapText="1"/>
    </xf>
    <xf numFmtId="167" fontId="23" fillId="27" borderId="37" xfId="4" applyNumberFormat="1" applyFont="1" applyFill="1" applyBorder="1" applyAlignment="1">
      <alignment horizontal="center" vertical="center" wrapText="1"/>
    </xf>
    <xf numFmtId="167" fontId="24" fillId="25" borderId="40" xfId="4" applyNumberFormat="1" applyFont="1" applyFill="1" applyBorder="1" applyAlignment="1">
      <alignment horizontal="center" vertical="center"/>
    </xf>
    <xf numFmtId="167" fontId="24" fillId="25" borderId="29" xfId="4" applyNumberFormat="1" applyFont="1" applyFill="1" applyBorder="1" applyAlignment="1">
      <alignment horizontal="center" vertical="center"/>
    </xf>
    <xf numFmtId="167" fontId="24" fillId="38" borderId="40" xfId="4" applyNumberFormat="1" applyFont="1" applyFill="1" applyBorder="1" applyAlignment="1">
      <alignment horizontal="center" vertical="center"/>
    </xf>
    <xf numFmtId="167" fontId="24" fillId="38" borderId="29" xfId="4" applyNumberFormat="1" applyFont="1" applyFill="1" applyBorder="1" applyAlignment="1">
      <alignment horizontal="center" vertical="center"/>
    </xf>
    <xf numFmtId="167" fontId="24" fillId="3" borderId="40" xfId="4" applyNumberFormat="1" applyFont="1" applyFill="1" applyBorder="1" applyAlignment="1">
      <alignment horizontal="center" vertical="center"/>
    </xf>
    <xf numFmtId="167" fontId="24" fillId="3" borderId="29" xfId="4" applyNumberFormat="1" applyFont="1" applyFill="1" applyBorder="1" applyAlignment="1">
      <alignment horizontal="center" vertical="center"/>
    </xf>
    <xf numFmtId="167" fontId="23" fillId="25" borderId="40" xfId="4" applyNumberFormat="1" applyFont="1" applyFill="1" applyBorder="1" applyAlignment="1">
      <alignment horizontal="center" vertical="center"/>
    </xf>
    <xf numFmtId="167" fontId="23" fillId="25" borderId="29" xfId="4" applyNumberFormat="1" applyFont="1" applyFill="1" applyBorder="1" applyAlignment="1">
      <alignment horizontal="center" vertical="center"/>
    </xf>
    <xf numFmtId="167" fontId="23" fillId="38" borderId="40" xfId="4" applyNumberFormat="1" applyFont="1" applyFill="1" applyBorder="1" applyAlignment="1">
      <alignment horizontal="center" vertical="center"/>
    </xf>
    <xf numFmtId="167" fontId="23" fillId="38" borderId="29" xfId="4" applyNumberFormat="1" applyFont="1" applyFill="1" applyBorder="1" applyAlignment="1">
      <alignment horizontal="center" vertical="center"/>
    </xf>
    <xf numFmtId="167" fontId="23" fillId="27" borderId="40" xfId="4" applyNumberFormat="1" applyFont="1" applyFill="1" applyBorder="1" applyAlignment="1">
      <alignment horizontal="center" vertical="center"/>
    </xf>
    <xf numFmtId="167" fontId="23" fillId="27" borderId="29" xfId="4" applyNumberFormat="1" applyFont="1" applyFill="1" applyBorder="1" applyAlignment="1">
      <alignment horizontal="center" vertical="center"/>
    </xf>
    <xf numFmtId="167" fontId="23" fillId="27" borderId="5" xfId="4" applyNumberFormat="1" applyFont="1" applyFill="1" applyBorder="1" applyAlignment="1">
      <alignment horizontal="center" vertical="center"/>
    </xf>
    <xf numFmtId="167" fontId="23" fillId="27" borderId="26" xfId="4" applyNumberFormat="1" applyFont="1" applyFill="1" applyBorder="1" applyAlignment="1">
      <alignment horizontal="center" vertical="center"/>
    </xf>
    <xf numFmtId="167" fontId="22" fillId="2" borderId="8" xfId="4" applyNumberFormat="1" applyFont="1" applyFill="1" applyBorder="1" applyAlignment="1">
      <alignment horizontal="center" vertical="center"/>
    </xf>
    <xf numFmtId="167" fontId="22" fillId="2" borderId="33" xfId="4" applyNumberFormat="1" applyFont="1" applyFill="1" applyBorder="1" applyAlignment="1">
      <alignment horizontal="center" vertical="center"/>
    </xf>
    <xf numFmtId="167" fontId="22" fillId="2" borderId="30" xfId="4" applyNumberFormat="1" applyFont="1" applyFill="1" applyBorder="1" applyAlignment="1">
      <alignment horizontal="center" vertical="center"/>
    </xf>
    <xf numFmtId="167" fontId="22" fillId="2" borderId="3" xfId="4" applyNumberFormat="1" applyFont="1" applyFill="1" applyBorder="1" applyAlignment="1">
      <alignment horizontal="center" vertical="center"/>
    </xf>
    <xf numFmtId="167" fontId="22" fillId="2" borderId="2" xfId="4" applyNumberFormat="1" applyFont="1" applyFill="1" applyBorder="1" applyAlignment="1">
      <alignment horizontal="center" vertical="center"/>
    </xf>
    <xf numFmtId="0" fontId="37" fillId="44" borderId="7" xfId="8" applyFont="1" applyFill="1" applyBorder="1" applyAlignment="1">
      <alignment horizontal="center" wrapText="1"/>
    </xf>
    <xf numFmtId="0" fontId="37" fillId="44" borderId="25" xfId="8" applyFont="1" applyFill="1" applyBorder="1" applyAlignment="1">
      <alignment horizontal="center" wrapText="1"/>
    </xf>
    <xf numFmtId="0" fontId="37" fillId="44" borderId="4" xfId="8" applyFont="1" applyFill="1" applyBorder="1" applyAlignment="1">
      <alignment horizontal="center" wrapText="1"/>
    </xf>
  </cellXfs>
  <cellStyles count="9">
    <cellStyle name="Comma 2" xfId="5" xr:uid="{F84B9654-FE24-4E94-973E-DB21329170C7}"/>
    <cellStyle name="Currency" xfId="1" builtinId="4"/>
    <cellStyle name="Normal" xfId="0" builtinId="0"/>
    <cellStyle name="Normal 2" xfId="3" xr:uid="{8148AABA-4E0F-4057-94B3-0B8316DE8DB0}"/>
    <cellStyle name="Normal 3" xfId="4" xr:uid="{4D2AD893-1B7F-4E8B-ABEE-6C65A0C877CB}"/>
    <cellStyle name="Normal 4" xfId="7" xr:uid="{754E4646-C51E-4B37-9C47-21E03FF30AB4}"/>
    <cellStyle name="Normal_WIL TEST 2009 Prices" xfId="8" xr:uid="{0C340724-4B2D-480C-9FFA-745F304E8E22}"/>
    <cellStyle name="Percent" xfId="2" builtinId="5"/>
    <cellStyle name="Percent 2" xfId="6" xr:uid="{96582071-5F0A-4F9B-835D-823D7E953159}"/>
  </cellStyles>
  <dxfs count="215">
    <dxf>
      <font>
        <b/>
        <i val="0"/>
        <color auto="1"/>
      </font>
      <fill>
        <patternFill>
          <bgColor rgb="FF33B129"/>
        </patternFill>
      </fill>
    </dxf>
    <dxf>
      <font>
        <condense val="0"/>
        <extend val="0"/>
        <color indexed="53"/>
      </font>
      <fill>
        <patternFill>
          <bgColor indexed="13"/>
        </patternFill>
      </fill>
    </dxf>
    <dxf>
      <font>
        <condense val="0"/>
        <extend val="0"/>
        <color indexed="53"/>
      </font>
      <fill>
        <patternFill>
          <bgColor indexed="13"/>
        </patternFill>
      </fill>
    </dxf>
    <dxf>
      <fill>
        <patternFill>
          <bgColor rgb="FF00B050"/>
        </patternFill>
      </fill>
    </dxf>
    <dxf>
      <fill>
        <patternFill>
          <bgColor rgb="FF00B050"/>
        </patternFill>
      </fill>
    </dxf>
    <dxf>
      <fill>
        <patternFill>
          <bgColor rgb="FFC00000"/>
        </patternFill>
      </fill>
    </dxf>
    <dxf>
      <font>
        <color theme="0"/>
      </font>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auto="1"/>
      </font>
    </dxf>
    <dxf>
      <fill>
        <patternFill>
          <bgColor rgb="FF00B050"/>
        </patternFill>
      </fill>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C00000"/>
        </patternFill>
      </fill>
    </dxf>
    <dxf>
      <font>
        <color theme="0"/>
      </font>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theme="5"/>
        </patternFill>
      </fill>
    </dxf>
    <dxf>
      <fill>
        <patternFill>
          <bgColor rgb="FF00B050"/>
        </patternFill>
      </fill>
    </dxf>
    <dxf>
      <fill>
        <patternFill>
          <bgColor rgb="FFC0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theme="0"/>
      </font>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
      <fill>
        <patternFill>
          <bgColor rgb="FFC00000"/>
        </patternFill>
      </fill>
    </dxf>
    <dxf>
      <font>
        <color theme="0"/>
      </font>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FFC00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theme="0"/>
      </font>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152400</xdr:colOff>
          <xdr:row>0</xdr:row>
          <xdr:rowOff>133350</xdr:rowOff>
        </xdr:from>
        <xdr:to>
          <xdr:col>40</xdr:col>
          <xdr:colOff>123825</xdr:colOff>
          <xdr:row>2</xdr:row>
          <xdr:rowOff>85725</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1" i="0" u="none" strike="noStrike" baseline="0">
                  <a:solidFill>
                    <a:srgbClr val="000000"/>
                  </a:solidFill>
                  <a:latin typeface="Helvetica 65 Medium"/>
                </a:rPr>
                <a:t>Click to return to Flow Rate Calculation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9997-2A64-4B01-BF22-5FE4198F8265}">
  <dimension ref="A1:I43"/>
  <sheetViews>
    <sheetView tabSelected="1" zoomScale="160" zoomScaleNormal="160" workbookViewId="0">
      <selection activeCell="A38" sqref="A38:I38"/>
    </sheetView>
  </sheetViews>
  <sheetFormatPr defaultRowHeight="15"/>
  <cols>
    <col min="1" max="16384" width="9.140625" style="8"/>
  </cols>
  <sheetData>
    <row r="1" spans="1:9" ht="15" customHeight="1">
      <c r="A1" s="601" t="s">
        <v>3644</v>
      </c>
      <c r="B1" s="601"/>
      <c r="C1" s="601"/>
      <c r="D1" s="601"/>
      <c r="E1" s="601"/>
      <c r="F1" s="601"/>
      <c r="G1" s="601"/>
      <c r="H1" s="601"/>
      <c r="I1" s="601"/>
    </row>
    <row r="2" spans="1:9" ht="26.25" customHeight="1">
      <c r="A2" s="601"/>
      <c r="B2" s="601"/>
      <c r="C2" s="601"/>
      <c r="D2" s="601"/>
      <c r="E2" s="601"/>
      <c r="F2" s="601"/>
      <c r="G2" s="601"/>
      <c r="H2" s="601"/>
      <c r="I2" s="601"/>
    </row>
    <row r="4" spans="1:9" ht="36.75" customHeight="1">
      <c r="A4" s="600" t="s">
        <v>3645</v>
      </c>
      <c r="B4" s="600"/>
      <c r="C4" s="600"/>
      <c r="D4" s="600"/>
      <c r="E4" s="600"/>
      <c r="F4" s="600"/>
      <c r="G4" s="600"/>
      <c r="H4" s="600"/>
      <c r="I4" s="600"/>
    </row>
    <row r="5" spans="1:9" ht="31.5" customHeight="1">
      <c r="A5" s="600" t="s">
        <v>3511</v>
      </c>
      <c r="B5" s="600"/>
      <c r="C5" s="600"/>
      <c r="D5" s="600"/>
      <c r="E5" s="600"/>
      <c r="F5" s="600"/>
      <c r="G5" s="600"/>
      <c r="H5" s="600"/>
      <c r="I5" s="600"/>
    </row>
    <row r="6" spans="1:9">
      <c r="A6" s="600" t="s">
        <v>3640</v>
      </c>
      <c r="B6" s="600"/>
      <c r="C6" s="600"/>
      <c r="D6" s="600"/>
      <c r="E6" s="600"/>
      <c r="F6" s="600"/>
      <c r="G6" s="600"/>
      <c r="H6" s="600"/>
      <c r="I6" s="600"/>
    </row>
    <row r="7" spans="1:9" ht="30.75" customHeight="1">
      <c r="A7" s="600" t="s">
        <v>3518</v>
      </c>
      <c r="B7" s="600"/>
      <c r="C7" s="600"/>
      <c r="D7" s="600"/>
      <c r="E7" s="600"/>
      <c r="F7" s="600"/>
      <c r="G7" s="600"/>
      <c r="H7" s="600"/>
      <c r="I7" s="600"/>
    </row>
    <row r="8" spans="1:9" ht="30.75" customHeight="1">
      <c r="A8" s="600" t="s">
        <v>3539</v>
      </c>
      <c r="B8" s="600"/>
      <c r="C8" s="600"/>
      <c r="D8" s="600"/>
      <c r="E8" s="600"/>
      <c r="F8" s="600"/>
      <c r="G8" s="600"/>
      <c r="H8" s="600"/>
      <c r="I8" s="600"/>
    </row>
    <row r="9" spans="1:9" ht="15" customHeight="1">
      <c r="A9" s="601" t="s">
        <v>3512</v>
      </c>
      <c r="B9" s="601"/>
      <c r="C9" s="601"/>
      <c r="D9" s="601"/>
      <c r="E9" s="601"/>
      <c r="F9" s="601"/>
      <c r="G9" s="601"/>
      <c r="H9" s="601"/>
      <c r="I9" s="601"/>
    </row>
    <row r="10" spans="1:9" ht="15" customHeight="1">
      <c r="A10" s="601"/>
      <c r="B10" s="601"/>
      <c r="C10" s="601"/>
      <c r="D10" s="601"/>
      <c r="E10" s="601"/>
      <c r="F10" s="601"/>
      <c r="G10" s="601"/>
      <c r="H10" s="601"/>
      <c r="I10" s="601"/>
    </row>
    <row r="11" spans="1:9" ht="15.75">
      <c r="A11" s="599" t="s">
        <v>3513</v>
      </c>
      <c r="B11" s="599"/>
      <c r="C11" s="599"/>
      <c r="D11" s="599"/>
      <c r="E11" s="599"/>
      <c r="F11" s="599"/>
      <c r="G11" s="599"/>
      <c r="H11" s="599"/>
      <c r="I11" s="599"/>
    </row>
    <row r="12" spans="1:9" ht="30" customHeight="1">
      <c r="A12" s="598" t="s">
        <v>3514</v>
      </c>
      <c r="B12" s="598"/>
      <c r="C12" s="598"/>
      <c r="D12" s="598"/>
      <c r="E12" s="598"/>
      <c r="F12" s="598"/>
      <c r="G12" s="598"/>
      <c r="H12" s="598"/>
      <c r="I12" s="598"/>
    </row>
    <row r="13" spans="1:9" ht="15.75">
      <c r="A13" s="599" t="s">
        <v>3515</v>
      </c>
      <c r="B13" s="599"/>
      <c r="C13" s="599"/>
      <c r="D13" s="599"/>
      <c r="E13" s="599"/>
      <c r="F13" s="599"/>
      <c r="G13" s="599"/>
      <c r="H13" s="599"/>
      <c r="I13" s="599"/>
    </row>
    <row r="14" spans="1:9" ht="46.5" customHeight="1">
      <c r="A14" s="598" t="s">
        <v>3516</v>
      </c>
      <c r="B14" s="598"/>
      <c r="C14" s="598"/>
      <c r="D14" s="598"/>
      <c r="E14" s="598"/>
      <c r="F14" s="598"/>
      <c r="G14" s="598"/>
      <c r="H14" s="598"/>
      <c r="I14" s="598"/>
    </row>
    <row r="15" spans="1:9" ht="15.75">
      <c r="A15" s="599" t="s">
        <v>3517</v>
      </c>
      <c r="B15" s="599"/>
      <c r="C15" s="599"/>
      <c r="D15" s="599"/>
      <c r="E15" s="599"/>
      <c r="F15" s="599"/>
      <c r="G15" s="599"/>
      <c r="H15" s="599"/>
      <c r="I15" s="599"/>
    </row>
    <row r="16" spans="1:9" ht="45.75" customHeight="1">
      <c r="A16" s="598" t="s">
        <v>3642</v>
      </c>
      <c r="B16" s="598"/>
      <c r="C16" s="598"/>
      <c r="D16" s="598"/>
      <c r="E16" s="598"/>
      <c r="F16" s="598"/>
      <c r="G16" s="598"/>
      <c r="H16" s="598"/>
      <c r="I16" s="598"/>
    </row>
    <row r="17" spans="1:9" ht="15.75">
      <c r="A17" s="599" t="s">
        <v>3519</v>
      </c>
      <c r="B17" s="599"/>
      <c r="C17" s="599"/>
      <c r="D17" s="599"/>
      <c r="E17" s="599"/>
      <c r="F17" s="599"/>
      <c r="G17" s="599"/>
      <c r="H17" s="599"/>
      <c r="I17" s="599"/>
    </row>
    <row r="18" spans="1:9" ht="51" customHeight="1">
      <c r="A18" s="598" t="s">
        <v>3641</v>
      </c>
      <c r="B18" s="598"/>
      <c r="C18" s="598"/>
      <c r="D18" s="598"/>
      <c r="E18" s="598"/>
      <c r="F18" s="598"/>
      <c r="G18" s="598"/>
      <c r="H18" s="598"/>
      <c r="I18" s="598"/>
    </row>
    <row r="19" spans="1:9" ht="15.75">
      <c r="A19" s="599" t="s">
        <v>3520</v>
      </c>
      <c r="B19" s="599"/>
      <c r="C19" s="599"/>
      <c r="D19" s="599"/>
      <c r="E19" s="599"/>
      <c r="F19" s="599"/>
      <c r="G19" s="599"/>
      <c r="H19" s="599"/>
      <c r="I19" s="599"/>
    </row>
    <row r="20" spans="1:9" ht="30.75" customHeight="1">
      <c r="A20" s="598" t="s">
        <v>3521</v>
      </c>
      <c r="B20" s="598"/>
      <c r="C20" s="598"/>
      <c r="D20" s="598"/>
      <c r="E20" s="598"/>
      <c r="F20" s="598"/>
      <c r="G20" s="598"/>
      <c r="H20" s="598"/>
      <c r="I20" s="598"/>
    </row>
    <row r="21" spans="1:9" ht="15.75">
      <c r="A21" s="599" t="s">
        <v>3531</v>
      </c>
      <c r="B21" s="599"/>
      <c r="C21" s="599"/>
      <c r="D21" s="599"/>
      <c r="E21" s="599"/>
      <c r="F21" s="599"/>
      <c r="G21" s="599"/>
      <c r="H21" s="599"/>
      <c r="I21" s="599"/>
    </row>
    <row r="22" spans="1:9" ht="46.5" customHeight="1">
      <c r="A22" s="598" t="s">
        <v>3533</v>
      </c>
      <c r="B22" s="598"/>
      <c r="C22" s="598"/>
      <c r="D22" s="598"/>
      <c r="E22" s="598"/>
      <c r="F22" s="598"/>
      <c r="G22" s="598"/>
      <c r="H22" s="598"/>
      <c r="I22" s="598"/>
    </row>
    <row r="23" spans="1:9" ht="15.75">
      <c r="A23" s="599" t="s">
        <v>3522</v>
      </c>
      <c r="B23" s="599"/>
      <c r="C23" s="599"/>
      <c r="D23" s="599"/>
      <c r="E23" s="599"/>
      <c r="F23" s="599"/>
      <c r="G23" s="599"/>
      <c r="H23" s="599"/>
      <c r="I23" s="599"/>
    </row>
    <row r="24" spans="1:9" ht="45" customHeight="1">
      <c r="A24" s="598" t="s">
        <v>3526</v>
      </c>
      <c r="B24" s="598"/>
      <c r="C24" s="598"/>
      <c r="D24" s="598"/>
      <c r="E24" s="598"/>
      <c r="F24" s="598"/>
      <c r="G24" s="598"/>
      <c r="H24" s="598"/>
      <c r="I24" s="598"/>
    </row>
    <row r="25" spans="1:9" ht="15.75">
      <c r="A25" s="599" t="s">
        <v>3523</v>
      </c>
      <c r="B25" s="599"/>
      <c r="C25" s="599"/>
      <c r="D25" s="599"/>
      <c r="E25" s="599"/>
      <c r="F25" s="599"/>
      <c r="G25" s="599"/>
      <c r="H25" s="599"/>
      <c r="I25" s="599"/>
    </row>
    <row r="26" spans="1:9" ht="45" customHeight="1">
      <c r="A26" s="598" t="s">
        <v>3524</v>
      </c>
      <c r="B26" s="598"/>
      <c r="C26" s="598"/>
      <c r="D26" s="598"/>
      <c r="E26" s="598"/>
      <c r="F26" s="598"/>
      <c r="G26" s="598"/>
      <c r="H26" s="598"/>
      <c r="I26" s="598"/>
    </row>
    <row r="27" spans="1:9" ht="15.75">
      <c r="A27" s="599" t="s">
        <v>3525</v>
      </c>
      <c r="B27" s="599"/>
      <c r="C27" s="599"/>
      <c r="D27" s="599"/>
      <c r="E27" s="599"/>
      <c r="F27" s="599"/>
      <c r="G27" s="599"/>
      <c r="H27" s="599"/>
      <c r="I27" s="599"/>
    </row>
    <row r="28" spans="1:9" ht="77.25" customHeight="1">
      <c r="A28" s="598" t="s">
        <v>3527</v>
      </c>
      <c r="B28" s="598"/>
      <c r="C28" s="598"/>
      <c r="D28" s="598"/>
      <c r="E28" s="598"/>
      <c r="F28" s="598"/>
      <c r="G28" s="598"/>
      <c r="H28" s="598"/>
      <c r="I28" s="598"/>
    </row>
    <row r="29" spans="1:9" ht="15.75">
      <c r="A29" s="599" t="s">
        <v>3528</v>
      </c>
      <c r="B29" s="599"/>
      <c r="C29" s="599"/>
      <c r="D29" s="599"/>
      <c r="E29" s="599"/>
      <c r="F29" s="599"/>
      <c r="G29" s="599"/>
      <c r="H29" s="599"/>
      <c r="I29" s="599"/>
    </row>
    <row r="30" spans="1:9" ht="30" customHeight="1">
      <c r="A30" s="598" t="s">
        <v>3529</v>
      </c>
      <c r="B30" s="598"/>
      <c r="C30" s="598"/>
      <c r="D30" s="598"/>
      <c r="E30" s="598"/>
      <c r="F30" s="598"/>
      <c r="G30" s="598"/>
      <c r="H30" s="598"/>
      <c r="I30" s="598"/>
    </row>
    <row r="31" spans="1:9" ht="15.75">
      <c r="A31" s="599" t="s">
        <v>3530</v>
      </c>
      <c r="B31" s="599"/>
      <c r="C31" s="599"/>
      <c r="D31" s="599"/>
      <c r="E31" s="599"/>
      <c r="F31" s="599"/>
      <c r="G31" s="599"/>
      <c r="H31" s="599"/>
      <c r="I31" s="599"/>
    </row>
    <row r="32" spans="1:9" ht="60" customHeight="1">
      <c r="A32" s="598" t="s">
        <v>3532</v>
      </c>
      <c r="B32" s="598"/>
      <c r="C32" s="598"/>
      <c r="D32" s="598"/>
      <c r="E32" s="598"/>
      <c r="F32" s="598"/>
      <c r="G32" s="598"/>
      <c r="H32" s="598"/>
      <c r="I32" s="598"/>
    </row>
    <row r="33" spans="1:9" ht="15.75">
      <c r="A33" s="599" t="s">
        <v>3534</v>
      </c>
      <c r="B33" s="599"/>
      <c r="C33" s="599"/>
      <c r="D33" s="599"/>
      <c r="E33" s="599"/>
      <c r="F33" s="599"/>
      <c r="G33" s="599"/>
      <c r="H33" s="599"/>
      <c r="I33" s="599"/>
    </row>
    <row r="34" spans="1:9" ht="76.5" customHeight="1">
      <c r="A34" s="598" t="s">
        <v>3535</v>
      </c>
      <c r="B34" s="598"/>
      <c r="C34" s="598"/>
      <c r="D34" s="598"/>
      <c r="E34" s="598"/>
      <c r="F34" s="598"/>
      <c r="G34" s="598"/>
      <c r="H34" s="598"/>
      <c r="I34" s="598"/>
    </row>
    <row r="35" spans="1:9" ht="15.75">
      <c r="A35" s="599" t="s">
        <v>3536</v>
      </c>
      <c r="B35" s="599"/>
      <c r="C35" s="599"/>
      <c r="D35" s="599"/>
      <c r="E35" s="599"/>
      <c r="F35" s="599"/>
      <c r="G35" s="599"/>
      <c r="H35" s="599"/>
      <c r="I35" s="599"/>
    </row>
    <row r="36" spans="1:9" ht="75" customHeight="1">
      <c r="A36" s="598" t="s">
        <v>3537</v>
      </c>
      <c r="B36" s="598"/>
      <c r="C36" s="598"/>
      <c r="D36" s="598"/>
      <c r="E36" s="598"/>
      <c r="F36" s="598"/>
      <c r="G36" s="598"/>
      <c r="H36" s="598"/>
      <c r="I36" s="598"/>
    </row>
    <row r="37" spans="1:9" ht="15.75">
      <c r="A37" s="599" t="s">
        <v>3538</v>
      </c>
      <c r="B37" s="599"/>
      <c r="C37" s="599"/>
      <c r="D37" s="599"/>
      <c r="E37" s="599"/>
      <c r="F37" s="599"/>
      <c r="G37" s="599"/>
      <c r="H37" s="599"/>
      <c r="I37" s="599"/>
    </row>
    <row r="38" spans="1:9" ht="30.75" customHeight="1">
      <c r="A38" s="598" t="s">
        <v>3643</v>
      </c>
      <c r="B38" s="598"/>
      <c r="C38" s="598"/>
      <c r="D38" s="598"/>
      <c r="E38" s="598"/>
      <c r="F38" s="598"/>
      <c r="G38" s="598"/>
      <c r="H38" s="598"/>
      <c r="I38" s="598"/>
    </row>
    <row r="40" spans="1:9">
      <c r="A40" s="8" t="s">
        <v>3540</v>
      </c>
    </row>
    <row r="41" spans="1:9">
      <c r="B41" s="8" t="s">
        <v>3541</v>
      </c>
    </row>
    <row r="42" spans="1:9">
      <c r="B42" s="8" t="s">
        <v>3542</v>
      </c>
    </row>
    <row r="43" spans="1:9">
      <c r="A43" s="597" t="s">
        <v>3543</v>
      </c>
      <c r="B43" s="597"/>
      <c r="C43" s="597"/>
      <c r="D43" s="597"/>
      <c r="E43" s="597"/>
      <c r="F43" s="597"/>
      <c r="G43" s="597"/>
      <c r="H43" s="597"/>
      <c r="I43" s="597"/>
    </row>
  </sheetData>
  <sheetProtection sheet="1" selectLockedCells="1"/>
  <mergeCells count="36">
    <mergeCell ref="A4:I4"/>
    <mergeCell ref="A5:I5"/>
    <mergeCell ref="A6:I6"/>
    <mergeCell ref="A1:I2"/>
    <mergeCell ref="A9:I10"/>
    <mergeCell ref="A7:I7"/>
    <mergeCell ref="A17:I17"/>
    <mergeCell ref="A18:I18"/>
    <mergeCell ref="A21:I21"/>
    <mergeCell ref="A8:I8"/>
    <mergeCell ref="A20:I20"/>
    <mergeCell ref="A19:I19"/>
    <mergeCell ref="A12:I12"/>
    <mergeCell ref="A11:I11"/>
    <mergeCell ref="A13:I13"/>
    <mergeCell ref="A14:I14"/>
    <mergeCell ref="A15:I15"/>
    <mergeCell ref="A16:I16"/>
    <mergeCell ref="A22:I22"/>
    <mergeCell ref="A23:I23"/>
    <mergeCell ref="A24:I24"/>
    <mergeCell ref="A25:I25"/>
    <mergeCell ref="A38:I38"/>
    <mergeCell ref="A26:I26"/>
    <mergeCell ref="A27:I27"/>
    <mergeCell ref="A28:I28"/>
    <mergeCell ref="A29:I29"/>
    <mergeCell ref="A30:I30"/>
    <mergeCell ref="A31:I31"/>
    <mergeCell ref="A43:I43"/>
    <mergeCell ref="A32:I32"/>
    <mergeCell ref="A33:I33"/>
    <mergeCell ref="A34:I34"/>
    <mergeCell ref="A35:I35"/>
    <mergeCell ref="A36:I36"/>
    <mergeCell ref="A37:I3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C252E-52DA-4E40-8444-D2FB4B8109EB}">
  <dimension ref="A1:B2681"/>
  <sheetViews>
    <sheetView workbookViewId="0">
      <selection activeCell="D21" sqref="D21"/>
    </sheetView>
  </sheetViews>
  <sheetFormatPr defaultRowHeight="15"/>
  <cols>
    <col min="2" max="2" width="12.5703125" style="470" bestFit="1" customWidth="1"/>
  </cols>
  <sheetData>
    <row r="1" spans="1:2">
      <c r="A1" t="s">
        <v>4159</v>
      </c>
      <c r="B1" s="470" t="str">
        <f>'Flow Indicator Parts List'!D2</f>
        <v>CDN$</v>
      </c>
    </row>
    <row r="2" spans="1:2">
      <c r="A2" t="str">
        <f>Prices!A8</f>
        <v>10200-CN</v>
      </c>
      <c r="B2" s="470">
        <f>IF('Flow Indicator Parts List'!$D$2="CDN$",_xlfn.XLOOKUP(A2,Prices!A:A,Prices!D:D),IF('Flow Indicator Parts List'!$D$2="US$",_xlfn.XLOOKUP(CurrencyModifier!A2,Prices!A:A,Prices!E:E,"MISSING")))</f>
        <v>0</v>
      </c>
    </row>
    <row r="3" spans="1:2">
      <c r="A3" t="str">
        <f>Prices!A9</f>
        <v>10200-US</v>
      </c>
      <c r="B3" s="470">
        <f>IF('Flow Indicator Parts List'!$D$2="CDN$",_xlfn.XLOOKUP(A3,Prices!A:A,Prices!D:D),IF('Flow Indicator Parts List'!$D$2="US$",_xlfn.XLOOKUP(CurrencyModifier!A3,Prices!A:A,Prices!E:E,"MISSING")))</f>
        <v>0</v>
      </c>
    </row>
    <row r="4" spans="1:2">
      <c r="A4" t="str">
        <f>Prices!A10</f>
        <v>10201-00</v>
      </c>
      <c r="B4" s="470">
        <f>IF('Flow Indicator Parts List'!$D$2="CDN$",_xlfn.XLOOKUP(A4,Prices!A:A,Prices!D:D),IF('Flow Indicator Parts List'!$D$2="US$",_xlfn.XLOOKUP(CurrencyModifier!A4,Prices!A:A,Prices!E:E,"MISSING")))</f>
        <v>0</v>
      </c>
    </row>
    <row r="5" spans="1:2">
      <c r="A5" t="str">
        <f>Prices!A11</f>
        <v>10205-00</v>
      </c>
      <c r="B5" s="470">
        <f>IF('Flow Indicator Parts List'!$D$2="CDN$",_xlfn.XLOOKUP(A5,Prices!A:A,Prices!D:D),IF('Flow Indicator Parts List'!$D$2="US$",_xlfn.XLOOKUP(CurrencyModifier!A5,Prices!A:A,Prices!E:E,"MISSING")))</f>
        <v>0</v>
      </c>
    </row>
    <row r="6" spans="1:2">
      <c r="A6" t="str">
        <f>Prices!A12</f>
        <v>10206-00</v>
      </c>
      <c r="B6" s="470">
        <f>IF('Flow Indicator Parts List'!$D$2="CDN$",_xlfn.XLOOKUP(A6,Prices!A:A,Prices!D:D),IF('Flow Indicator Parts List'!$D$2="US$",_xlfn.XLOOKUP(CurrencyModifier!A6,Prices!A:A,Prices!E:E,"MISSING")))</f>
        <v>0</v>
      </c>
    </row>
    <row r="7" spans="1:2">
      <c r="A7" t="str">
        <f>Prices!A13</f>
        <v>10209-00</v>
      </c>
      <c r="B7" s="470">
        <f>IF('Flow Indicator Parts List'!$D$2="CDN$",_xlfn.XLOOKUP(A7,Prices!A:A,Prices!D:D),IF('Flow Indicator Parts List'!$D$2="US$",_xlfn.XLOOKUP(CurrencyModifier!A7,Prices!A:A,Prices!E:E,"MISSING")))</f>
        <v>0</v>
      </c>
    </row>
    <row r="8" spans="1:2">
      <c r="A8" t="str">
        <f>Prices!A14</f>
        <v xml:space="preserve">10211-00 </v>
      </c>
      <c r="B8" s="470">
        <f>IF('Flow Indicator Parts List'!$D$2="CDN$",_xlfn.XLOOKUP(A8,Prices!A:A,Prices!D:D),IF('Flow Indicator Parts List'!$D$2="US$",_xlfn.XLOOKUP(CurrencyModifier!A8,Prices!A:A,Prices!E:E,"MISSING")))</f>
        <v>0</v>
      </c>
    </row>
    <row r="9" spans="1:2">
      <c r="A9" t="str">
        <f>Prices!A15</f>
        <v>10215-00</v>
      </c>
      <c r="B9" s="470">
        <f>IF('Flow Indicator Parts List'!$D$2="CDN$",_xlfn.XLOOKUP(A9,Prices!A:A,Prices!D:D),IF('Flow Indicator Parts List'!$D$2="US$",_xlfn.XLOOKUP(CurrencyModifier!A9,Prices!A:A,Prices!E:E,"MISSING")))</f>
        <v>0</v>
      </c>
    </row>
    <row r="10" spans="1:2">
      <c r="A10" t="str">
        <f>Prices!A16</f>
        <v>20251-00</v>
      </c>
      <c r="B10" s="470">
        <f>IF('Flow Indicator Parts List'!$D$2="CDN$",_xlfn.XLOOKUP(A10,Prices!A:A,Prices!D:D),IF('Flow Indicator Parts List'!$D$2="US$",_xlfn.XLOOKUP(CurrencyModifier!A10,Prices!A:A,Prices!E:E,"MISSING")))</f>
        <v>35.973999999999997</v>
      </c>
    </row>
    <row r="11" spans="1:2">
      <c r="A11" t="str">
        <f>Prices!A17</f>
        <v>20252-00</v>
      </c>
      <c r="B11" s="470">
        <f>IF('Flow Indicator Parts List'!$D$2="CDN$",_xlfn.XLOOKUP(A11,Prices!A:A,Prices!D:D),IF('Flow Indicator Parts List'!$D$2="US$",_xlfn.XLOOKUP(CurrencyModifier!A11,Prices!A:A,Prices!E:E,"MISSING")))</f>
        <v>35.973999999999997</v>
      </c>
    </row>
    <row r="12" spans="1:2">
      <c r="A12" t="str">
        <f>Prices!A18</f>
        <v>20253-00</v>
      </c>
      <c r="B12" s="470">
        <f>IF('Flow Indicator Parts List'!$D$2="CDN$",_xlfn.XLOOKUP(A12,Prices!A:A,Prices!D:D),IF('Flow Indicator Parts List'!$D$2="US$",_xlfn.XLOOKUP(CurrencyModifier!A12,Prices!A:A,Prices!E:E,"MISSING")))</f>
        <v>35.973999999999997</v>
      </c>
    </row>
    <row r="13" spans="1:2">
      <c r="A13" t="str">
        <f>Prices!A19</f>
        <v>20451-00</v>
      </c>
      <c r="B13" s="470">
        <f>IF('Flow Indicator Parts List'!$D$2="CDN$",_xlfn.XLOOKUP(A13,Prices!A:A,Prices!D:D),IF('Flow Indicator Parts List'!$D$2="US$",_xlfn.XLOOKUP(CurrencyModifier!A13,Prices!A:A,Prices!E:E,"MISSING")))</f>
        <v>35.973999999999997</v>
      </c>
    </row>
    <row r="14" spans="1:2">
      <c r="A14" t="str">
        <f>Prices!A20</f>
        <v>20452-00</v>
      </c>
      <c r="B14" s="470">
        <f>IF('Flow Indicator Parts List'!$D$2="CDN$",_xlfn.XLOOKUP(A14,Prices!A:A,Prices!D:D),IF('Flow Indicator Parts List'!$D$2="US$",_xlfn.XLOOKUP(CurrencyModifier!A14,Prices!A:A,Prices!E:E,"MISSING")))</f>
        <v>35.973999999999997</v>
      </c>
    </row>
    <row r="15" spans="1:2">
      <c r="A15" t="str">
        <f>Prices!A21</f>
        <v>20453-00</v>
      </c>
      <c r="B15" s="470">
        <f>IF('Flow Indicator Parts List'!$D$2="CDN$",_xlfn.XLOOKUP(A15,Prices!A:A,Prices!D:D),IF('Flow Indicator Parts List'!$D$2="US$",_xlfn.XLOOKUP(CurrencyModifier!A15,Prices!A:A,Prices!E:E,"MISSING")))</f>
        <v>35.973999999999997</v>
      </c>
    </row>
    <row r="16" spans="1:2">
      <c r="A16" t="str">
        <f>Prices!A22</f>
        <v>20455-00</v>
      </c>
      <c r="B16" s="470">
        <f>IF('Flow Indicator Parts List'!$D$2="CDN$",_xlfn.XLOOKUP(A16,Prices!A:A,Prices!D:D),IF('Flow Indicator Parts List'!$D$2="US$",_xlfn.XLOOKUP(CurrencyModifier!A16,Prices!A:A,Prices!E:E,"MISSING")))</f>
        <v>11.131</v>
      </c>
    </row>
    <row r="17" spans="1:2">
      <c r="A17" t="str">
        <f>Prices!A23</f>
        <v>20455-01</v>
      </c>
      <c r="B17" s="470">
        <f>IF('Flow Indicator Parts List'!$D$2="CDN$",_xlfn.XLOOKUP(A17,Prices!A:A,Prices!D:D),IF('Flow Indicator Parts List'!$D$2="US$",_xlfn.XLOOKUP(CurrencyModifier!A17,Prices!A:A,Prices!E:E,"MISSING")))</f>
        <v>1.6140000000000001</v>
      </c>
    </row>
    <row r="18" spans="1:2">
      <c r="A18" t="str">
        <f>Prices!A24</f>
        <v>20455-04</v>
      </c>
      <c r="B18" s="470">
        <f>IF('Flow Indicator Parts List'!$D$2="CDN$",_xlfn.XLOOKUP(A18,Prices!A:A,Prices!D:D),IF('Flow Indicator Parts List'!$D$2="US$",_xlfn.XLOOKUP(CurrencyModifier!A18,Prices!A:A,Prices!E:E,"MISSING")))</f>
        <v>0.30499999999999999</v>
      </c>
    </row>
    <row r="19" spans="1:2">
      <c r="A19" t="str">
        <f>Prices!A25</f>
        <v>20455-07</v>
      </c>
      <c r="B19" s="470">
        <f>IF('Flow Indicator Parts List'!$D$2="CDN$",_xlfn.XLOOKUP(A19,Prices!A:A,Prices!D:D),IF('Flow Indicator Parts List'!$D$2="US$",_xlfn.XLOOKUP(CurrencyModifier!A19,Prices!A:A,Prices!E:E,"MISSING")))</f>
        <v>0.32</v>
      </c>
    </row>
    <row r="20" spans="1:2">
      <c r="A20" t="str">
        <f>Prices!A26</f>
        <v>20455-V4</v>
      </c>
      <c r="B20" s="470">
        <f>IF('Flow Indicator Parts List'!$D$2="CDN$",_xlfn.XLOOKUP(A20,Prices!A:A,Prices!D:D),IF('Flow Indicator Parts List'!$D$2="US$",_xlfn.XLOOKUP(CurrencyModifier!A20,Prices!A:A,Prices!E:E,"MISSING")))</f>
        <v>2.0950000000000002</v>
      </c>
    </row>
    <row r="21" spans="1:2">
      <c r="A21" t="str">
        <f>Prices!A27</f>
        <v>20455-V7</v>
      </c>
      <c r="B21" s="470">
        <f>IF('Flow Indicator Parts List'!$D$2="CDN$",_xlfn.XLOOKUP(A21,Prices!A:A,Prices!D:D),IF('Flow Indicator Parts List'!$D$2="US$",_xlfn.XLOOKUP(CurrencyModifier!A21,Prices!A:A,Prices!E:E,"MISSING")))</f>
        <v>2.7509999999999999</v>
      </c>
    </row>
    <row r="22" spans="1:2">
      <c r="A22" t="str">
        <f>Prices!A28</f>
        <v>20456-00</v>
      </c>
      <c r="B22" s="470">
        <f>IF('Flow Indicator Parts List'!$D$2="CDN$",_xlfn.XLOOKUP(A22,Prices!A:A,Prices!D:D),IF('Flow Indicator Parts List'!$D$2="US$",_xlfn.XLOOKUP(CurrencyModifier!A22,Prices!A:A,Prices!E:E,"MISSING")))</f>
        <v>4.9610000000000003</v>
      </c>
    </row>
    <row r="23" spans="1:2">
      <c r="A23" t="str">
        <f>Prices!A29</f>
        <v>20456-01</v>
      </c>
      <c r="B23" s="470">
        <f>IF('Flow Indicator Parts List'!$D$2="CDN$",_xlfn.XLOOKUP(A23,Prices!A:A,Prices!D:D),IF('Flow Indicator Parts List'!$D$2="US$",_xlfn.XLOOKUP(CurrencyModifier!A23,Prices!A:A,Prices!E:E,"MISSING")))</f>
        <v>1.127</v>
      </c>
    </row>
    <row r="24" spans="1:2">
      <c r="A24" t="str">
        <f>Prices!A30</f>
        <v>20457-00</v>
      </c>
      <c r="B24" s="470">
        <f>IF('Flow Indicator Parts List'!$D$2="CDN$",_xlfn.XLOOKUP(A24,Prices!A:A,Prices!D:D),IF('Flow Indicator Parts List'!$D$2="US$",_xlfn.XLOOKUP(CurrencyModifier!A24,Prices!A:A,Prices!E:E,"MISSING")))</f>
        <v>11.239000000000001</v>
      </c>
    </row>
    <row r="25" spans="1:2">
      <c r="A25" t="str">
        <f>Prices!A31</f>
        <v>20457-04</v>
      </c>
      <c r="B25" s="470">
        <f>IF('Flow Indicator Parts List'!$D$2="CDN$",_xlfn.XLOOKUP(A25,Prices!A:A,Prices!D:D),IF('Flow Indicator Parts List'!$D$2="US$",_xlfn.XLOOKUP(CurrencyModifier!A25,Prices!A:A,Prices!E:E,"MISSING")))</f>
        <v>0.313</v>
      </c>
    </row>
    <row r="26" spans="1:2">
      <c r="A26" t="str">
        <f>Prices!A32</f>
        <v>20457-V4</v>
      </c>
      <c r="B26" s="470">
        <f>IF('Flow Indicator Parts List'!$D$2="CDN$",_xlfn.XLOOKUP(A26,Prices!A:A,Prices!D:D),IF('Flow Indicator Parts List'!$D$2="US$",_xlfn.XLOOKUP(CurrencyModifier!A26,Prices!A:A,Prices!E:E,"MISSING")))</f>
        <v>2.7509999999999999</v>
      </c>
    </row>
    <row r="27" spans="1:2">
      <c r="A27" t="str">
        <f>Prices!A33</f>
        <v>20458-100</v>
      </c>
      <c r="B27" s="470">
        <f>IF('Flow Indicator Parts List'!$D$2="CDN$",_xlfn.XLOOKUP(A27,Prices!A:A,Prices!D:D),IF('Flow Indicator Parts List'!$D$2="US$",_xlfn.XLOOKUP(CurrencyModifier!A27,Prices!A:A,Prices!E:E,"MISSING")))</f>
        <v>39.515000000000001</v>
      </c>
    </row>
    <row r="28" spans="1:2">
      <c r="A28" t="str">
        <f>Prices!A34</f>
        <v>20459-100</v>
      </c>
      <c r="B28" s="470">
        <f>IF('Flow Indicator Parts List'!$D$2="CDN$",_xlfn.XLOOKUP(A28,Prices!A:A,Prices!D:D),IF('Flow Indicator Parts List'!$D$2="US$",_xlfn.XLOOKUP(CurrencyModifier!A28,Prices!A:A,Prices!E:E,"MISSING")))</f>
        <v>73.894999999999996</v>
      </c>
    </row>
    <row r="29" spans="1:2">
      <c r="A29" t="str">
        <f>Prices!A35</f>
        <v>20460-00</v>
      </c>
      <c r="B29" s="470">
        <f>IF('Flow Indicator Parts List'!$D$2="CDN$",_xlfn.XLOOKUP(A29,Prices!A:A,Prices!D:D),IF('Flow Indicator Parts List'!$D$2="US$",_xlfn.XLOOKUP(CurrencyModifier!A29,Prices!A:A,Prices!E:E,"MISSING")))</f>
        <v>32.765000000000001</v>
      </c>
    </row>
    <row r="30" spans="1:2">
      <c r="A30" t="str">
        <f>Prices!A36</f>
        <v>20460-01</v>
      </c>
      <c r="B30" s="470">
        <f>IF('Flow Indicator Parts List'!$D$2="CDN$",_xlfn.XLOOKUP(A30,Prices!A:A,Prices!D:D),IF('Flow Indicator Parts List'!$D$2="US$",_xlfn.XLOOKUP(CurrencyModifier!A30,Prices!A:A,Prices!E:E,"MISSING")))</f>
        <v>20.242000000000001</v>
      </c>
    </row>
    <row r="31" spans="1:2">
      <c r="A31" t="str">
        <f>Prices!A37</f>
        <v>20460-02</v>
      </c>
      <c r="B31" s="470">
        <f>IF('Flow Indicator Parts List'!$D$2="CDN$",_xlfn.XLOOKUP(A31,Prices!A:A,Prices!D:D),IF('Flow Indicator Parts List'!$D$2="US$",_xlfn.XLOOKUP(CurrencyModifier!A31,Prices!A:A,Prices!E:E,"MISSING")))</f>
        <v>0.89700000000000002</v>
      </c>
    </row>
    <row r="32" spans="1:2">
      <c r="A32" t="str">
        <f>Prices!A38</f>
        <v>20460-03</v>
      </c>
      <c r="B32" s="470">
        <f>IF('Flow Indicator Parts List'!$D$2="CDN$",_xlfn.XLOOKUP(A32,Prices!A:A,Prices!D:D),IF('Flow Indicator Parts List'!$D$2="US$",_xlfn.XLOOKUP(CurrencyModifier!A32,Prices!A:A,Prices!E:E,"MISSING")))</f>
        <v>0.40699999999999997</v>
      </c>
    </row>
    <row r="33" spans="1:2">
      <c r="A33" t="str">
        <f>Prices!A39</f>
        <v>20460-04</v>
      </c>
      <c r="B33" s="470">
        <f>IF('Flow Indicator Parts List'!$D$2="CDN$",_xlfn.XLOOKUP(A33,Prices!A:A,Prices!D:D),IF('Flow Indicator Parts List'!$D$2="US$",_xlfn.XLOOKUP(CurrencyModifier!A33,Prices!A:A,Prices!E:E,"MISSING")))</f>
        <v>2.1869999999999998</v>
      </c>
    </row>
    <row r="34" spans="1:2">
      <c r="A34" t="str">
        <f>Prices!A40</f>
        <v>20460-05</v>
      </c>
      <c r="B34" s="470">
        <f>IF('Flow Indicator Parts List'!$D$2="CDN$",_xlfn.XLOOKUP(A34,Prices!A:A,Prices!D:D),IF('Flow Indicator Parts List'!$D$2="US$",_xlfn.XLOOKUP(CurrencyModifier!A34,Prices!A:A,Prices!E:E,"MISSING")))</f>
        <v>2.2200000000000002</v>
      </c>
    </row>
    <row r="35" spans="1:2">
      <c r="A35" t="str">
        <f>Prices!A41</f>
        <v>20460-06</v>
      </c>
      <c r="B35" s="470">
        <f>IF('Flow Indicator Parts List'!$D$2="CDN$",_xlfn.XLOOKUP(A35,Prices!A:A,Prices!D:D),IF('Flow Indicator Parts List'!$D$2="US$",_xlfn.XLOOKUP(CurrencyModifier!A35,Prices!A:A,Prices!E:E,"MISSING")))</f>
        <v>1.06</v>
      </c>
    </row>
    <row r="36" spans="1:2">
      <c r="A36" t="str">
        <f>Prices!A42</f>
        <v>20460-07</v>
      </c>
      <c r="B36" s="470">
        <f>IF('Flow Indicator Parts List'!$D$2="CDN$",_xlfn.XLOOKUP(A36,Prices!A:A,Prices!D:D),IF('Flow Indicator Parts List'!$D$2="US$",_xlfn.XLOOKUP(CurrencyModifier!A36,Prices!A:A,Prices!E:E,"MISSING")))</f>
        <v>1.06</v>
      </c>
    </row>
    <row r="37" spans="1:2">
      <c r="A37" t="str">
        <f>Prices!A43</f>
        <v>20460-08</v>
      </c>
      <c r="B37" s="470">
        <f>IF('Flow Indicator Parts List'!$D$2="CDN$",_xlfn.XLOOKUP(A37,Prices!A:A,Prices!D:D),IF('Flow Indicator Parts List'!$D$2="US$",_xlfn.XLOOKUP(CurrencyModifier!A37,Prices!A:A,Prices!E:E,"MISSING")))</f>
        <v>1.06</v>
      </c>
    </row>
    <row r="38" spans="1:2">
      <c r="A38" t="str">
        <f>Prices!A44</f>
        <v>20460-09</v>
      </c>
      <c r="B38" s="470">
        <f>IF('Flow Indicator Parts List'!$D$2="CDN$",_xlfn.XLOOKUP(A38,Prices!A:A,Prices!D:D),IF('Flow Indicator Parts List'!$D$2="US$",_xlfn.XLOOKUP(CurrencyModifier!A38,Prices!A:A,Prices!E:E,"MISSING")))</f>
        <v>1.06</v>
      </c>
    </row>
    <row r="39" spans="1:2">
      <c r="A39" t="str">
        <f>Prices!A45</f>
        <v>20460-10</v>
      </c>
      <c r="B39" s="470">
        <f>IF('Flow Indicator Parts List'!$D$2="CDN$",_xlfn.XLOOKUP(A39,Prices!A:A,Prices!D:D),IF('Flow Indicator Parts List'!$D$2="US$",_xlfn.XLOOKUP(CurrencyModifier!A39,Prices!A:A,Prices!E:E,"MISSING")))</f>
        <v>2.383</v>
      </c>
    </row>
    <row r="40" spans="1:2">
      <c r="A40" t="str">
        <f>Prices!A46</f>
        <v>20460-11</v>
      </c>
      <c r="B40" s="470">
        <f>IF('Flow Indicator Parts List'!$D$2="CDN$",_xlfn.XLOOKUP(A40,Prices!A:A,Prices!D:D),IF('Flow Indicator Parts List'!$D$2="US$",_xlfn.XLOOKUP(CurrencyModifier!A40,Prices!A:A,Prices!E:E,"MISSING")))</f>
        <v>12.145</v>
      </c>
    </row>
    <row r="41" spans="1:2">
      <c r="A41" t="str">
        <f>Prices!A47</f>
        <v>20460-12</v>
      </c>
      <c r="B41" s="470">
        <f>IF('Flow Indicator Parts List'!$D$2="CDN$",_xlfn.XLOOKUP(A41,Prices!A:A,Prices!D:D),IF('Flow Indicator Parts List'!$D$2="US$",_xlfn.XLOOKUP(CurrencyModifier!A41,Prices!A:A,Prices!E:E,"MISSING")))</f>
        <v>14.477</v>
      </c>
    </row>
    <row r="42" spans="1:2">
      <c r="A42" t="str">
        <f>Prices!A48</f>
        <v>20460-13</v>
      </c>
      <c r="B42" s="470">
        <f>IF('Flow Indicator Parts List'!$D$2="CDN$",_xlfn.XLOOKUP(A42,Prices!A:A,Prices!D:D),IF('Flow Indicator Parts List'!$D$2="US$",_xlfn.XLOOKUP(CurrencyModifier!A42,Prices!A:A,Prices!E:E,"MISSING")))</f>
        <v>1.06</v>
      </c>
    </row>
    <row r="43" spans="1:2">
      <c r="A43" t="str">
        <f>Prices!A49</f>
        <v>20460-14</v>
      </c>
      <c r="B43" s="470">
        <f>IF('Flow Indicator Parts List'!$D$2="CDN$",_xlfn.XLOOKUP(A43,Prices!A:A,Prices!D:D),IF('Flow Indicator Parts List'!$D$2="US$",_xlfn.XLOOKUP(CurrencyModifier!A43,Prices!A:A,Prices!E:E,"MISSING")))</f>
        <v>1.06</v>
      </c>
    </row>
    <row r="44" spans="1:2">
      <c r="A44" t="str">
        <f>Prices!A50</f>
        <v>20460-15</v>
      </c>
      <c r="B44" s="470">
        <f>IF('Flow Indicator Parts List'!$D$2="CDN$",_xlfn.XLOOKUP(A44,Prices!A:A,Prices!D:D),IF('Flow Indicator Parts List'!$D$2="US$",_xlfn.XLOOKUP(CurrencyModifier!A44,Prices!A:A,Prices!E:E,"MISSING")))</f>
        <v>2.7389999999999999</v>
      </c>
    </row>
    <row r="45" spans="1:2">
      <c r="A45" t="str">
        <f>Prices!A51</f>
        <v>20460-16</v>
      </c>
      <c r="B45" s="470">
        <f>IF('Flow Indicator Parts List'!$D$2="CDN$",_xlfn.XLOOKUP(A45,Prices!A:A,Prices!D:D),IF('Flow Indicator Parts List'!$D$2="US$",_xlfn.XLOOKUP(CurrencyModifier!A45,Prices!A:A,Prices!E:E,"MISSING")))</f>
        <v>11.339</v>
      </c>
    </row>
    <row r="46" spans="1:2">
      <c r="A46" t="str">
        <f>Prices!A52</f>
        <v>20460-17</v>
      </c>
      <c r="B46" s="470">
        <f>IF('Flow Indicator Parts List'!$D$2="CDN$",_xlfn.XLOOKUP(A46,Prices!A:A,Prices!D:D),IF('Flow Indicator Parts List'!$D$2="US$",_xlfn.XLOOKUP(CurrencyModifier!A46,Prices!A:A,Prices!E:E,"MISSING")))</f>
        <v>69.623000000000005</v>
      </c>
    </row>
    <row r="47" spans="1:2">
      <c r="A47" t="str">
        <f>Prices!A53</f>
        <v>20460-18</v>
      </c>
      <c r="B47" s="470">
        <f>IF('Flow Indicator Parts List'!$D$2="CDN$",_xlfn.XLOOKUP(A47,Prices!A:A,Prices!D:D),IF('Flow Indicator Parts List'!$D$2="US$",_xlfn.XLOOKUP(CurrencyModifier!A47,Prices!A:A,Prices!E:E,"MISSING")))</f>
        <v>1.06</v>
      </c>
    </row>
    <row r="48" spans="1:2">
      <c r="A48" t="str">
        <f>Prices!A54</f>
        <v>20460-BULK</v>
      </c>
      <c r="B48" s="470">
        <f>IF('Flow Indicator Parts List'!$D$2="CDN$",_xlfn.XLOOKUP(A48,Prices!A:A,Prices!D:D),IF('Flow Indicator Parts List'!$D$2="US$",_xlfn.XLOOKUP(CurrencyModifier!A48,Prices!A:A,Prices!E:E,"MISSING")))</f>
        <v>32.765000000000001</v>
      </c>
    </row>
    <row r="49" spans="1:2">
      <c r="A49" t="str">
        <f>Prices!A55</f>
        <v>20460-V0</v>
      </c>
      <c r="B49" s="470">
        <f>IF('Flow Indicator Parts List'!$D$2="CDN$",_xlfn.XLOOKUP(A49,Prices!A:A,Prices!D:D),IF('Flow Indicator Parts List'!$D$2="US$",_xlfn.XLOOKUP(CurrencyModifier!A49,Prices!A:A,Prices!E:E,"MISSING")))</f>
        <v>35.087000000000003</v>
      </c>
    </row>
    <row r="50" spans="1:2">
      <c r="A50" t="str">
        <f>Prices!A56</f>
        <v>20470-00</v>
      </c>
      <c r="B50" s="470">
        <f>IF('Flow Indicator Parts List'!$D$2="CDN$",_xlfn.XLOOKUP(A50,Prices!A:A,Prices!D:D),IF('Flow Indicator Parts List'!$D$2="US$",_xlfn.XLOOKUP(CurrencyModifier!A50,Prices!A:A,Prices!E:E,"MISSING")))</f>
        <v>32.765000000000001</v>
      </c>
    </row>
    <row r="51" spans="1:2">
      <c r="A51" t="str">
        <f>Prices!A57</f>
        <v>20470-01</v>
      </c>
      <c r="B51" s="470">
        <f>IF('Flow Indicator Parts List'!$D$2="CDN$",_xlfn.XLOOKUP(A51,Prices!A:A,Prices!D:D),IF('Flow Indicator Parts List'!$D$2="US$",_xlfn.XLOOKUP(CurrencyModifier!A51,Prices!A:A,Prices!E:E,"MISSING")))</f>
        <v>20.242000000000001</v>
      </c>
    </row>
    <row r="52" spans="1:2">
      <c r="A52" t="str">
        <f>Prices!A58</f>
        <v>20470-BULK</v>
      </c>
      <c r="B52" s="470">
        <f>IF('Flow Indicator Parts List'!$D$2="CDN$",_xlfn.XLOOKUP(A52,Prices!A:A,Prices!D:D),IF('Flow Indicator Parts List'!$D$2="US$",_xlfn.XLOOKUP(CurrencyModifier!A52,Prices!A:A,Prices!E:E,"MISSING")))</f>
        <v>32.765000000000001</v>
      </c>
    </row>
    <row r="53" spans="1:2">
      <c r="A53" t="str">
        <f>Prices!A59</f>
        <v>20470-V0</v>
      </c>
      <c r="B53" s="470">
        <f>IF('Flow Indicator Parts List'!$D$2="CDN$",_xlfn.XLOOKUP(A53,Prices!A:A,Prices!D:D),IF('Flow Indicator Parts List'!$D$2="US$",_xlfn.XLOOKUP(CurrencyModifier!A53,Prices!A:A,Prices!E:E,"MISSING")))</f>
        <v>35.087000000000003</v>
      </c>
    </row>
    <row r="54" spans="1:2">
      <c r="A54" t="str">
        <f>Prices!A60</f>
        <v>20475-00</v>
      </c>
      <c r="B54" s="470">
        <f>IF('Flow Indicator Parts List'!$D$2="CDN$",_xlfn.XLOOKUP(A54,Prices!A:A,Prices!D:D),IF('Flow Indicator Parts List'!$D$2="US$",_xlfn.XLOOKUP(CurrencyModifier!A54,Prices!A:A,Prices!E:E,"MISSING")))</f>
        <v>32.765000000000001</v>
      </c>
    </row>
    <row r="55" spans="1:2">
      <c r="A55" t="str">
        <f>Prices!A61</f>
        <v>20475-01</v>
      </c>
      <c r="B55" s="470">
        <f>IF('Flow Indicator Parts List'!$D$2="CDN$",_xlfn.XLOOKUP(A55,Prices!A:A,Prices!D:D),IF('Flow Indicator Parts List'!$D$2="US$",_xlfn.XLOOKUP(CurrencyModifier!A55,Prices!A:A,Prices!E:E,"MISSING")))</f>
        <v>20.242000000000001</v>
      </c>
    </row>
    <row r="56" spans="1:2">
      <c r="A56" t="str">
        <f>Prices!A62</f>
        <v>20475-BULK</v>
      </c>
      <c r="B56" s="470">
        <f>IF('Flow Indicator Parts List'!$D$2="CDN$",_xlfn.XLOOKUP(A56,Prices!A:A,Prices!D:D),IF('Flow Indicator Parts List'!$D$2="US$",_xlfn.XLOOKUP(CurrencyModifier!A56,Prices!A:A,Prices!E:E,"MISSING")))</f>
        <v>32.765000000000001</v>
      </c>
    </row>
    <row r="57" spans="1:2">
      <c r="A57" t="str">
        <f>Prices!A63</f>
        <v>20475-V0</v>
      </c>
      <c r="B57" s="470">
        <f>IF('Flow Indicator Parts List'!$D$2="CDN$",_xlfn.XLOOKUP(A57,Prices!A:A,Prices!D:D),IF('Flow Indicator Parts List'!$D$2="US$",_xlfn.XLOOKUP(CurrencyModifier!A57,Prices!A:A,Prices!E:E,"MISSING")))</f>
        <v>35.087000000000003</v>
      </c>
    </row>
    <row r="58" spans="1:2">
      <c r="A58" t="str">
        <f>Prices!A64</f>
        <v>20480-00</v>
      </c>
      <c r="B58" s="470">
        <f>IF('Flow Indicator Parts List'!$D$2="CDN$",_xlfn.XLOOKUP(A58,Prices!A:A,Prices!D:D),IF('Flow Indicator Parts List'!$D$2="US$",_xlfn.XLOOKUP(CurrencyModifier!A58,Prices!A:A,Prices!E:E,"MISSING")))</f>
        <v>25.744</v>
      </c>
    </row>
    <row r="59" spans="1:2">
      <c r="A59" t="str">
        <f>Prices!A65</f>
        <v>20480-01</v>
      </c>
      <c r="B59" s="470">
        <f>IF('Flow Indicator Parts List'!$D$2="CDN$",_xlfn.XLOOKUP(A59,Prices!A:A,Prices!D:D),IF('Flow Indicator Parts List'!$D$2="US$",_xlfn.XLOOKUP(CurrencyModifier!A59,Prices!A:A,Prices!E:E,"MISSING")))</f>
        <v>16.193999999999999</v>
      </c>
    </row>
    <row r="60" spans="1:2">
      <c r="A60" t="str">
        <f>Prices!A66</f>
        <v>20480-02</v>
      </c>
      <c r="B60" s="470">
        <f>IF('Flow Indicator Parts List'!$D$2="CDN$",_xlfn.XLOOKUP(A60,Prices!A:A,Prices!D:D),IF('Flow Indicator Parts List'!$D$2="US$",_xlfn.XLOOKUP(CurrencyModifier!A60,Prices!A:A,Prices!E:E,"MISSING")))</f>
        <v>8.1319999999999997</v>
      </c>
    </row>
    <row r="61" spans="1:2">
      <c r="A61" t="str">
        <f>Prices!A67</f>
        <v>20480-03</v>
      </c>
      <c r="B61" s="470">
        <f>IF('Flow Indicator Parts List'!$D$2="CDN$",_xlfn.XLOOKUP(A61,Prices!A:A,Prices!D:D),IF('Flow Indicator Parts List'!$D$2="US$",_xlfn.XLOOKUP(CurrencyModifier!A61,Prices!A:A,Prices!E:E,"MISSING")))</f>
        <v>10.468</v>
      </c>
    </row>
    <row r="62" spans="1:2">
      <c r="A62" t="str">
        <f>Prices!A68</f>
        <v>20490-00</v>
      </c>
      <c r="B62" s="470">
        <f>IF('Flow Indicator Parts List'!$D$2="CDN$",_xlfn.XLOOKUP(A62,Prices!A:A,Prices!D:D),IF('Flow Indicator Parts List'!$D$2="US$",_xlfn.XLOOKUP(CurrencyModifier!A62,Prices!A:A,Prices!E:E,"MISSING")))</f>
        <v>25.744</v>
      </c>
    </row>
    <row r="63" spans="1:2">
      <c r="A63" t="str">
        <f>Prices!A69</f>
        <v>20490-01</v>
      </c>
      <c r="B63" s="470">
        <f>IF('Flow Indicator Parts List'!$D$2="CDN$",_xlfn.XLOOKUP(A63,Prices!A:A,Prices!D:D),IF('Flow Indicator Parts List'!$D$2="US$",_xlfn.XLOOKUP(CurrencyModifier!A63,Prices!A:A,Prices!E:E,"MISSING")))</f>
        <v>16.193999999999999</v>
      </c>
    </row>
    <row r="64" spans="1:2">
      <c r="A64" t="str">
        <f>Prices!A70</f>
        <v>20500-00</v>
      </c>
      <c r="B64" s="470">
        <f>IF('Flow Indicator Parts List'!$D$2="CDN$",_xlfn.XLOOKUP(A64,Prices!A:A,Prices!D:D),IF('Flow Indicator Parts List'!$D$2="US$",_xlfn.XLOOKUP(CurrencyModifier!A64,Prices!A:A,Prices!E:E,"MISSING")))</f>
        <v>4.1630000000000003</v>
      </c>
    </row>
    <row r="65" spans="1:2">
      <c r="A65" t="str">
        <f>Prices!A71</f>
        <v>20500-01</v>
      </c>
      <c r="B65" s="470">
        <f>IF('Flow Indicator Parts List'!$D$2="CDN$",_xlfn.XLOOKUP(A65,Prices!A:A,Prices!D:D),IF('Flow Indicator Parts List'!$D$2="US$",_xlfn.XLOOKUP(CurrencyModifier!A65,Prices!A:A,Prices!E:E,"MISSING")))</f>
        <v>3.673</v>
      </c>
    </row>
    <row r="66" spans="1:2">
      <c r="A66" t="str">
        <f>Prices!A72</f>
        <v>20500-V0</v>
      </c>
      <c r="B66" s="470">
        <f>IF('Flow Indicator Parts List'!$D$2="CDN$",_xlfn.XLOOKUP(A66,Prices!A:A,Prices!D:D),IF('Flow Indicator Parts List'!$D$2="US$",_xlfn.XLOOKUP(CurrencyModifier!A66,Prices!A:A,Prices!E:E,"MISSING")))</f>
        <v>6.4870000000000001</v>
      </c>
    </row>
    <row r="67" spans="1:2">
      <c r="A67" t="str">
        <f>Prices!A73</f>
        <v>20501-00</v>
      </c>
      <c r="B67" s="470">
        <f>IF('Flow Indicator Parts List'!$D$2="CDN$",_xlfn.XLOOKUP(A67,Prices!A:A,Prices!D:D),IF('Flow Indicator Parts List'!$D$2="US$",_xlfn.XLOOKUP(CurrencyModifier!A67,Prices!A:A,Prices!E:E,"MISSING")))</f>
        <v>4.1630000000000003</v>
      </c>
    </row>
    <row r="68" spans="1:2">
      <c r="A68" t="str">
        <f>Prices!A74</f>
        <v>20501-01</v>
      </c>
      <c r="B68" s="470">
        <f>IF('Flow Indicator Parts List'!$D$2="CDN$",_xlfn.XLOOKUP(A68,Prices!A:A,Prices!D:D),IF('Flow Indicator Parts List'!$D$2="US$",_xlfn.XLOOKUP(CurrencyModifier!A68,Prices!A:A,Prices!E:E,"MISSING")))</f>
        <v>3.673</v>
      </c>
    </row>
    <row r="69" spans="1:2">
      <c r="A69" t="str">
        <f>Prices!A75</f>
        <v>20501-V0</v>
      </c>
      <c r="B69" s="470">
        <f>IF('Flow Indicator Parts List'!$D$2="CDN$",_xlfn.XLOOKUP(A69,Prices!A:A,Prices!D:D),IF('Flow Indicator Parts List'!$D$2="US$",_xlfn.XLOOKUP(CurrencyModifier!A69,Prices!A:A,Prices!E:E,"MISSING")))</f>
        <v>6.4870000000000001</v>
      </c>
    </row>
    <row r="70" spans="1:2">
      <c r="A70" t="str">
        <f>Prices!A76</f>
        <v>20502-00</v>
      </c>
      <c r="B70" s="470">
        <f>IF('Flow Indicator Parts List'!$D$2="CDN$",_xlfn.XLOOKUP(A70,Prices!A:A,Prices!D:D),IF('Flow Indicator Parts List'!$D$2="US$",_xlfn.XLOOKUP(CurrencyModifier!A70,Prices!A:A,Prices!E:E,"MISSING")))</f>
        <v>4.1630000000000003</v>
      </c>
    </row>
    <row r="71" spans="1:2">
      <c r="A71" t="str">
        <f>Prices!A77</f>
        <v>20502-01</v>
      </c>
      <c r="B71" s="470">
        <f>IF('Flow Indicator Parts List'!$D$2="CDN$",_xlfn.XLOOKUP(A71,Prices!A:A,Prices!D:D),IF('Flow Indicator Parts List'!$D$2="US$",_xlfn.XLOOKUP(CurrencyModifier!A71,Prices!A:A,Prices!E:E,"MISSING")))</f>
        <v>3.673</v>
      </c>
    </row>
    <row r="72" spans="1:2">
      <c r="A72" t="str">
        <f>Prices!A78</f>
        <v>20502-V0</v>
      </c>
      <c r="B72" s="470">
        <f>IF('Flow Indicator Parts List'!$D$2="CDN$",_xlfn.XLOOKUP(A72,Prices!A:A,Prices!D:D),IF('Flow Indicator Parts List'!$D$2="US$",_xlfn.XLOOKUP(CurrencyModifier!A72,Prices!A:A,Prices!E:E,"MISSING")))</f>
        <v>6.4870000000000001</v>
      </c>
    </row>
    <row r="73" spans="1:2">
      <c r="A73" t="str">
        <f>Prices!A79</f>
        <v>20503-00</v>
      </c>
      <c r="B73" s="470">
        <f>IF('Flow Indicator Parts List'!$D$2="CDN$",_xlfn.XLOOKUP(A73,Prices!A:A,Prices!D:D),IF('Flow Indicator Parts List'!$D$2="US$",_xlfn.XLOOKUP(CurrencyModifier!A73,Prices!A:A,Prices!E:E,"MISSING")))</f>
        <v>4.1630000000000003</v>
      </c>
    </row>
    <row r="74" spans="1:2">
      <c r="A74" t="str">
        <f>Prices!A80</f>
        <v>20503-01</v>
      </c>
      <c r="B74" s="470">
        <f>IF('Flow Indicator Parts List'!$D$2="CDN$",_xlfn.XLOOKUP(A74,Prices!A:A,Prices!D:D),IF('Flow Indicator Parts List'!$D$2="US$",_xlfn.XLOOKUP(CurrencyModifier!A74,Prices!A:A,Prices!E:E,"MISSING")))</f>
        <v>3.673</v>
      </c>
    </row>
    <row r="75" spans="1:2">
      <c r="A75" t="str">
        <f>Prices!A81</f>
        <v>20503-V0</v>
      </c>
      <c r="B75" s="470">
        <f>IF('Flow Indicator Parts List'!$D$2="CDN$",_xlfn.XLOOKUP(A75,Prices!A:A,Prices!D:D),IF('Flow Indicator Parts List'!$D$2="US$",_xlfn.XLOOKUP(CurrencyModifier!A75,Prices!A:A,Prices!E:E,"MISSING")))</f>
        <v>6.4870000000000001</v>
      </c>
    </row>
    <row r="76" spans="1:2">
      <c r="A76" t="str">
        <f>Prices!A82</f>
        <v>20504-00</v>
      </c>
      <c r="B76" s="470">
        <f>IF('Flow Indicator Parts List'!$D$2="CDN$",_xlfn.XLOOKUP(A76,Prices!A:A,Prices!D:D),IF('Flow Indicator Parts List'!$D$2="US$",_xlfn.XLOOKUP(CurrencyModifier!A76,Prices!A:A,Prices!E:E,"MISSING")))</f>
        <v>4.5789999999999997</v>
      </c>
    </row>
    <row r="77" spans="1:2">
      <c r="A77" t="str">
        <f>Prices!A83</f>
        <v>20504-01</v>
      </c>
      <c r="B77" s="470">
        <f>IF('Flow Indicator Parts List'!$D$2="CDN$",_xlfn.XLOOKUP(A77,Prices!A:A,Prices!D:D),IF('Flow Indicator Parts List'!$D$2="US$",_xlfn.XLOOKUP(CurrencyModifier!A77,Prices!A:A,Prices!E:E,"MISSING")))</f>
        <v>4.0389999999999997</v>
      </c>
    </row>
    <row r="78" spans="1:2">
      <c r="A78" t="str">
        <f>Prices!A84</f>
        <v>20504-V0</v>
      </c>
      <c r="B78" s="470">
        <f>IF('Flow Indicator Parts List'!$D$2="CDN$",_xlfn.XLOOKUP(A78,Prices!A:A,Prices!D:D),IF('Flow Indicator Parts List'!$D$2="US$",_xlfn.XLOOKUP(CurrencyModifier!A78,Prices!A:A,Prices!E:E,"MISSING")))</f>
        <v>7.1349999999999998</v>
      </c>
    </row>
    <row r="79" spans="1:2">
      <c r="A79" t="str">
        <f>Prices!A85</f>
        <v>20506-00</v>
      </c>
      <c r="B79" s="470">
        <f>IF('Flow Indicator Parts List'!$D$2="CDN$",_xlfn.XLOOKUP(A79,Prices!A:A,Prices!D:D),IF('Flow Indicator Parts List'!$D$2="US$",_xlfn.XLOOKUP(CurrencyModifier!A79,Prices!A:A,Prices!E:E,"MISSING")))</f>
        <v>7.3250000000000002</v>
      </c>
    </row>
    <row r="80" spans="1:2">
      <c r="A80" t="str">
        <f>Prices!A86</f>
        <v>20506-01</v>
      </c>
      <c r="B80" s="470">
        <f>IF('Flow Indicator Parts List'!$D$2="CDN$",_xlfn.XLOOKUP(A80,Prices!A:A,Prices!D:D),IF('Flow Indicator Parts List'!$D$2="US$",_xlfn.XLOOKUP(CurrencyModifier!A80,Prices!A:A,Prices!E:E,"MISSING")))</f>
        <v>3.673</v>
      </c>
    </row>
    <row r="81" spans="1:2">
      <c r="A81" t="str">
        <f>Prices!A87</f>
        <v>20506-V0</v>
      </c>
      <c r="B81" s="470">
        <f>IF('Flow Indicator Parts List'!$D$2="CDN$",_xlfn.XLOOKUP(A81,Prices!A:A,Prices!D:D),IF('Flow Indicator Parts List'!$D$2="US$",_xlfn.XLOOKUP(CurrencyModifier!A81,Prices!A:A,Prices!E:E,"MISSING")))</f>
        <v>13.817</v>
      </c>
    </row>
    <row r="82" spans="1:2">
      <c r="A82" t="str">
        <f>Prices!A88</f>
        <v>20507-00</v>
      </c>
      <c r="B82" s="470">
        <f>IF('Flow Indicator Parts List'!$D$2="CDN$",_xlfn.XLOOKUP(A82,Prices!A:A,Prices!D:D),IF('Flow Indicator Parts List'!$D$2="US$",_xlfn.XLOOKUP(CurrencyModifier!A82,Prices!A:A,Prices!E:E,"MISSING")))</f>
        <v>8.1430000000000007</v>
      </c>
    </row>
    <row r="83" spans="1:2">
      <c r="A83" t="str">
        <f>Prices!A89</f>
        <v>20507-01</v>
      </c>
      <c r="B83" s="470">
        <f>IF('Flow Indicator Parts List'!$D$2="CDN$",_xlfn.XLOOKUP(A83,Prices!A:A,Prices!D:D),IF('Flow Indicator Parts List'!$D$2="US$",_xlfn.XLOOKUP(CurrencyModifier!A83,Prices!A:A,Prices!E:E,"MISSING")))</f>
        <v>3.673</v>
      </c>
    </row>
    <row r="84" spans="1:2">
      <c r="A84" t="str">
        <f>Prices!A90</f>
        <v>20507-V0</v>
      </c>
      <c r="B84" s="470">
        <f>IF('Flow Indicator Parts List'!$D$2="CDN$",_xlfn.XLOOKUP(A84,Prices!A:A,Prices!D:D),IF('Flow Indicator Parts List'!$D$2="US$",_xlfn.XLOOKUP(CurrencyModifier!A84,Prices!A:A,Prices!E:E,"MISSING")))</f>
        <v>14.635999999999999</v>
      </c>
    </row>
    <row r="85" spans="1:2">
      <c r="A85" t="str">
        <f>Prices!A91</f>
        <v>20508-00</v>
      </c>
      <c r="B85" s="470">
        <f>IF('Flow Indicator Parts List'!$D$2="CDN$",_xlfn.XLOOKUP(A85,Prices!A:A,Prices!D:D),IF('Flow Indicator Parts List'!$D$2="US$",_xlfn.XLOOKUP(CurrencyModifier!A85,Prices!A:A,Prices!E:E,"MISSING")))</f>
        <v>8.1430000000000007</v>
      </c>
    </row>
    <row r="86" spans="1:2">
      <c r="A86" t="str">
        <f>Prices!A92</f>
        <v>20508-V0</v>
      </c>
      <c r="B86" s="470">
        <f>IF('Flow Indicator Parts List'!$D$2="CDN$",_xlfn.XLOOKUP(A86,Prices!A:A,Prices!D:D),IF('Flow Indicator Parts List'!$D$2="US$",_xlfn.XLOOKUP(CurrencyModifier!A86,Prices!A:A,Prices!E:E,"MISSING")))</f>
        <v>14.635999999999999</v>
      </c>
    </row>
    <row r="87" spans="1:2">
      <c r="A87" t="str">
        <f>Prices!A93</f>
        <v>20509-00</v>
      </c>
      <c r="B87" s="470">
        <f>IF('Flow Indicator Parts List'!$D$2="CDN$",_xlfn.XLOOKUP(A87,Prices!A:A,Prices!D:D),IF('Flow Indicator Parts List'!$D$2="US$",_xlfn.XLOOKUP(CurrencyModifier!A87,Prices!A:A,Prices!E:E,"MISSING")))</f>
        <v>0</v>
      </c>
    </row>
    <row r="88" spans="1:2">
      <c r="A88" t="str">
        <f>Prices!A94</f>
        <v>20509-01</v>
      </c>
      <c r="B88" s="470">
        <f>IF('Flow Indicator Parts List'!$D$2="CDN$",_xlfn.XLOOKUP(A88,Prices!A:A,Prices!D:D),IF('Flow Indicator Parts List'!$D$2="US$",_xlfn.XLOOKUP(CurrencyModifier!A88,Prices!A:A,Prices!E:E,"MISSING")))</f>
        <v>0</v>
      </c>
    </row>
    <row r="89" spans="1:2">
      <c r="A89" t="str">
        <f>Prices!A95</f>
        <v>20509-V0</v>
      </c>
      <c r="B89" s="470">
        <f>IF('Flow Indicator Parts List'!$D$2="CDN$",_xlfn.XLOOKUP(A89,Prices!A:A,Prices!D:D),IF('Flow Indicator Parts List'!$D$2="US$",_xlfn.XLOOKUP(CurrencyModifier!A89,Prices!A:A,Prices!E:E,"MISSING")))</f>
        <v>0</v>
      </c>
    </row>
    <row r="90" spans="1:2">
      <c r="A90" t="str">
        <f>Prices!A96</f>
        <v>20511-00</v>
      </c>
      <c r="B90" s="470">
        <f>IF('Flow Indicator Parts List'!$D$2="CDN$",_xlfn.XLOOKUP(A90,Prices!A:A,Prices!D:D),IF('Flow Indicator Parts List'!$D$2="US$",_xlfn.XLOOKUP(CurrencyModifier!A90,Prices!A:A,Prices!E:E,"MISSING")))</f>
        <v>4.1630000000000003</v>
      </c>
    </row>
    <row r="91" spans="1:2">
      <c r="A91" t="str">
        <f>Prices!A97</f>
        <v>20511-01</v>
      </c>
      <c r="B91" s="470">
        <f>IF('Flow Indicator Parts List'!$D$2="CDN$",_xlfn.XLOOKUP(A91,Prices!A:A,Prices!D:D),IF('Flow Indicator Parts List'!$D$2="US$",_xlfn.XLOOKUP(CurrencyModifier!A91,Prices!A:A,Prices!E:E,"MISSING")))</f>
        <v>3.673</v>
      </c>
    </row>
    <row r="92" spans="1:2">
      <c r="A92" t="str">
        <f>Prices!A98</f>
        <v>20511-V0</v>
      </c>
      <c r="B92" s="470">
        <f>IF('Flow Indicator Parts List'!$D$2="CDN$",_xlfn.XLOOKUP(A92,Prices!A:A,Prices!D:D),IF('Flow Indicator Parts List'!$D$2="US$",_xlfn.XLOOKUP(CurrencyModifier!A92,Prices!A:A,Prices!E:E,"MISSING")))</f>
        <v>6.4870000000000001</v>
      </c>
    </row>
    <row r="93" spans="1:2">
      <c r="A93" t="str">
        <f>Prices!A99</f>
        <v>20512-00</v>
      </c>
      <c r="B93" s="470">
        <f>IF('Flow Indicator Parts List'!$D$2="CDN$",_xlfn.XLOOKUP(A93,Prices!A:A,Prices!D:D),IF('Flow Indicator Parts List'!$D$2="US$",_xlfn.XLOOKUP(CurrencyModifier!A93,Prices!A:A,Prices!E:E,"MISSING")))</f>
        <v>4.1630000000000003</v>
      </c>
    </row>
    <row r="94" spans="1:2">
      <c r="A94" t="str">
        <f>Prices!A100</f>
        <v>20512-01</v>
      </c>
      <c r="B94" s="470">
        <f>IF('Flow Indicator Parts List'!$D$2="CDN$",_xlfn.XLOOKUP(A94,Prices!A:A,Prices!D:D),IF('Flow Indicator Parts List'!$D$2="US$",_xlfn.XLOOKUP(CurrencyModifier!A94,Prices!A:A,Prices!E:E,"MISSING")))</f>
        <v>3.673</v>
      </c>
    </row>
    <row r="95" spans="1:2">
      <c r="A95" t="str">
        <f>Prices!A101</f>
        <v>20512-V0</v>
      </c>
      <c r="B95" s="470">
        <f>IF('Flow Indicator Parts List'!$D$2="CDN$",_xlfn.XLOOKUP(A95,Prices!A:A,Prices!D:D),IF('Flow Indicator Parts List'!$D$2="US$",_xlfn.XLOOKUP(CurrencyModifier!A95,Prices!A:A,Prices!E:E,"MISSING")))</f>
        <v>6.4870000000000001</v>
      </c>
    </row>
    <row r="96" spans="1:2">
      <c r="A96" t="str">
        <f>Prices!A102</f>
        <v>20513-00</v>
      </c>
      <c r="B96" s="470">
        <f>IF('Flow Indicator Parts List'!$D$2="CDN$",_xlfn.XLOOKUP(A96,Prices!A:A,Prices!D:D),IF('Flow Indicator Parts List'!$D$2="US$",_xlfn.XLOOKUP(CurrencyModifier!A96,Prices!A:A,Prices!E:E,"MISSING")))</f>
        <v>4.1630000000000003</v>
      </c>
    </row>
    <row r="97" spans="1:2">
      <c r="A97" t="str">
        <f>Prices!A103</f>
        <v>20513-01</v>
      </c>
      <c r="B97" s="470">
        <f>IF('Flow Indicator Parts List'!$D$2="CDN$",_xlfn.XLOOKUP(A97,Prices!A:A,Prices!D:D),IF('Flow Indicator Parts List'!$D$2="US$",_xlfn.XLOOKUP(CurrencyModifier!A97,Prices!A:A,Prices!E:E,"MISSING")))</f>
        <v>3.673</v>
      </c>
    </row>
    <row r="98" spans="1:2">
      <c r="A98" t="str">
        <f>Prices!A104</f>
        <v>20513-V0</v>
      </c>
      <c r="B98" s="470">
        <f>IF('Flow Indicator Parts List'!$D$2="CDN$",_xlfn.XLOOKUP(A98,Prices!A:A,Prices!D:D),IF('Flow Indicator Parts List'!$D$2="US$",_xlfn.XLOOKUP(CurrencyModifier!A98,Prices!A:A,Prices!E:E,"MISSING")))</f>
        <v>6.4870000000000001</v>
      </c>
    </row>
    <row r="99" spans="1:2">
      <c r="A99" t="str">
        <f>Prices!A105</f>
        <v>20514-00</v>
      </c>
      <c r="B99" s="470">
        <f>IF('Flow Indicator Parts List'!$D$2="CDN$",_xlfn.XLOOKUP(A99,Prices!A:A,Prices!D:D),IF('Flow Indicator Parts List'!$D$2="US$",_xlfn.XLOOKUP(CurrencyModifier!A99,Prices!A:A,Prices!E:E,"MISSING")))</f>
        <v>4.1630000000000003</v>
      </c>
    </row>
    <row r="100" spans="1:2">
      <c r="A100" t="str">
        <f>Prices!A106</f>
        <v>20514-01</v>
      </c>
      <c r="B100" s="470">
        <f>IF('Flow Indicator Parts List'!$D$2="CDN$",_xlfn.XLOOKUP(A100,Prices!A:A,Prices!D:D),IF('Flow Indicator Parts List'!$D$2="US$",_xlfn.XLOOKUP(CurrencyModifier!A100,Prices!A:A,Prices!E:E,"MISSING")))</f>
        <v>3.673</v>
      </c>
    </row>
    <row r="101" spans="1:2">
      <c r="A101" t="str">
        <f>Prices!A107</f>
        <v>20514-V0</v>
      </c>
      <c r="B101" s="470">
        <f>IF('Flow Indicator Parts List'!$D$2="CDN$",_xlfn.XLOOKUP(A101,Prices!A:A,Prices!D:D),IF('Flow Indicator Parts List'!$D$2="US$",_xlfn.XLOOKUP(CurrencyModifier!A101,Prices!A:A,Prices!E:E,"MISSING")))</f>
        <v>6.4870000000000001</v>
      </c>
    </row>
    <row r="102" spans="1:2">
      <c r="A102" t="str">
        <f>Prices!A108</f>
        <v>20515-00</v>
      </c>
      <c r="B102" s="470">
        <f>IF('Flow Indicator Parts List'!$D$2="CDN$",_xlfn.XLOOKUP(A102,Prices!A:A,Prices!D:D),IF('Flow Indicator Parts List'!$D$2="US$",_xlfn.XLOOKUP(CurrencyModifier!A102,Prices!A:A,Prices!E:E,"MISSING")))</f>
        <v>4.5789999999999997</v>
      </c>
    </row>
    <row r="103" spans="1:2">
      <c r="A103" t="str">
        <f>Prices!A109</f>
        <v>20515-01</v>
      </c>
      <c r="B103" s="470">
        <f>IF('Flow Indicator Parts List'!$D$2="CDN$",_xlfn.XLOOKUP(A103,Prices!A:A,Prices!D:D),IF('Flow Indicator Parts List'!$D$2="US$",_xlfn.XLOOKUP(CurrencyModifier!A103,Prices!A:A,Prices!E:E,"MISSING")))</f>
        <v>4.0389999999999997</v>
      </c>
    </row>
    <row r="104" spans="1:2">
      <c r="A104" t="str">
        <f>Prices!A110</f>
        <v>20515-V0</v>
      </c>
      <c r="B104" s="470">
        <f>IF('Flow Indicator Parts List'!$D$2="CDN$",_xlfn.XLOOKUP(A104,Prices!A:A,Prices!D:D),IF('Flow Indicator Parts List'!$D$2="US$",_xlfn.XLOOKUP(CurrencyModifier!A104,Prices!A:A,Prices!E:E,"MISSING")))</f>
        <v>7.1349999999999998</v>
      </c>
    </row>
    <row r="105" spans="1:2">
      <c r="A105" t="str">
        <f>Prices!A111</f>
        <v>20516-00</v>
      </c>
      <c r="B105" s="470">
        <f>IF('Flow Indicator Parts List'!$D$2="CDN$",_xlfn.XLOOKUP(A105,Prices!A:A,Prices!D:D),IF('Flow Indicator Parts List'!$D$2="US$",_xlfn.XLOOKUP(CurrencyModifier!A105,Prices!A:A,Prices!E:E,"MISSING")))</f>
        <v>7.3250000000000002</v>
      </c>
    </row>
    <row r="106" spans="1:2">
      <c r="A106" t="str">
        <f>Prices!A112</f>
        <v>20516-01</v>
      </c>
      <c r="B106" s="470">
        <f>IF('Flow Indicator Parts List'!$D$2="CDN$",_xlfn.XLOOKUP(A106,Prices!A:A,Prices!D:D),IF('Flow Indicator Parts List'!$D$2="US$",_xlfn.XLOOKUP(CurrencyModifier!A106,Prices!A:A,Prices!E:E,"MISSING")))</f>
        <v>3.673</v>
      </c>
    </row>
    <row r="107" spans="1:2">
      <c r="A107" t="str">
        <f>Prices!A113</f>
        <v>20516-V0</v>
      </c>
      <c r="B107" s="470">
        <f>IF('Flow Indicator Parts List'!$D$2="CDN$",_xlfn.XLOOKUP(A107,Prices!A:A,Prices!D:D),IF('Flow Indicator Parts List'!$D$2="US$",_xlfn.XLOOKUP(CurrencyModifier!A107,Prices!A:A,Prices!E:E,"MISSING")))</f>
        <v>13.817</v>
      </c>
    </row>
    <row r="108" spans="1:2">
      <c r="A108" t="str">
        <f>Prices!A114</f>
        <v>20517-00</v>
      </c>
      <c r="B108" s="470">
        <f>IF('Flow Indicator Parts List'!$D$2="CDN$",_xlfn.XLOOKUP(A108,Prices!A:A,Prices!D:D),IF('Flow Indicator Parts List'!$D$2="US$",_xlfn.XLOOKUP(CurrencyModifier!A108,Prices!A:A,Prices!E:E,"MISSING")))</f>
        <v>8.1430000000000007</v>
      </c>
    </row>
    <row r="109" spans="1:2">
      <c r="A109" t="str">
        <f>Prices!A115</f>
        <v>20517-01</v>
      </c>
      <c r="B109" s="470">
        <f>IF('Flow Indicator Parts List'!$D$2="CDN$",_xlfn.XLOOKUP(A109,Prices!A:A,Prices!D:D),IF('Flow Indicator Parts List'!$D$2="US$",_xlfn.XLOOKUP(CurrencyModifier!A109,Prices!A:A,Prices!E:E,"MISSING")))</f>
        <v>3.673</v>
      </c>
    </row>
    <row r="110" spans="1:2">
      <c r="A110" t="str">
        <f>Prices!A116</f>
        <v>20517-V0</v>
      </c>
      <c r="B110" s="470">
        <f>IF('Flow Indicator Parts List'!$D$2="CDN$",_xlfn.XLOOKUP(A110,Prices!A:A,Prices!D:D),IF('Flow Indicator Parts List'!$D$2="US$",_xlfn.XLOOKUP(CurrencyModifier!A110,Prices!A:A,Prices!E:E,"MISSING")))</f>
        <v>14.635999999999999</v>
      </c>
    </row>
    <row r="111" spans="1:2">
      <c r="A111" t="str">
        <f>Prices!A117</f>
        <v>20518-00</v>
      </c>
      <c r="B111" s="470">
        <f>IF('Flow Indicator Parts List'!$D$2="CDN$",_xlfn.XLOOKUP(A111,Prices!A:A,Prices!D:D),IF('Flow Indicator Parts List'!$D$2="US$",_xlfn.XLOOKUP(CurrencyModifier!A111,Prices!A:A,Prices!E:E,"MISSING")))</f>
        <v>4.1630000000000003</v>
      </c>
    </row>
    <row r="112" spans="1:2">
      <c r="A112" t="str">
        <f>Prices!A118</f>
        <v>20518-01</v>
      </c>
      <c r="B112" s="470">
        <f>IF('Flow Indicator Parts List'!$D$2="CDN$",_xlfn.XLOOKUP(A112,Prices!A:A,Prices!D:D),IF('Flow Indicator Parts List'!$D$2="US$",_xlfn.XLOOKUP(CurrencyModifier!A112,Prices!A:A,Prices!E:E,"MISSING")))</f>
        <v>3.673</v>
      </c>
    </row>
    <row r="113" spans="1:2">
      <c r="A113" t="str">
        <f>Prices!A119</f>
        <v>20518-V0</v>
      </c>
      <c r="B113" s="470">
        <f>IF('Flow Indicator Parts List'!$D$2="CDN$",_xlfn.XLOOKUP(A113,Prices!A:A,Prices!D:D),IF('Flow Indicator Parts List'!$D$2="US$",_xlfn.XLOOKUP(CurrencyModifier!A113,Prices!A:A,Prices!E:E,"MISSING")))</f>
        <v>6.4870000000000001</v>
      </c>
    </row>
    <row r="114" spans="1:2">
      <c r="A114" t="str">
        <f>Prices!A120</f>
        <v>20519-00</v>
      </c>
      <c r="B114" s="470">
        <f>IF('Flow Indicator Parts List'!$D$2="CDN$",_xlfn.XLOOKUP(A114,Prices!A:A,Prices!D:D),IF('Flow Indicator Parts List'!$D$2="US$",_xlfn.XLOOKUP(CurrencyModifier!A114,Prices!A:A,Prices!E:E,"MISSING")))</f>
        <v>4.1630000000000003</v>
      </c>
    </row>
    <row r="115" spans="1:2">
      <c r="A115" t="str">
        <f>Prices!A121</f>
        <v>20519-01</v>
      </c>
      <c r="B115" s="470">
        <f>IF('Flow Indicator Parts List'!$D$2="CDN$",_xlfn.XLOOKUP(A115,Prices!A:A,Prices!D:D),IF('Flow Indicator Parts List'!$D$2="US$",_xlfn.XLOOKUP(CurrencyModifier!A115,Prices!A:A,Prices!E:E,"MISSING")))</f>
        <v>3.673</v>
      </c>
    </row>
    <row r="116" spans="1:2">
      <c r="A116" t="str">
        <f>Prices!A122</f>
        <v>20519-V0</v>
      </c>
      <c r="B116" s="470">
        <f>IF('Flow Indicator Parts List'!$D$2="CDN$",_xlfn.XLOOKUP(A116,Prices!A:A,Prices!D:D),IF('Flow Indicator Parts List'!$D$2="US$",_xlfn.XLOOKUP(CurrencyModifier!A116,Prices!A:A,Prices!E:E,"MISSING")))</f>
        <v>6.4870000000000001</v>
      </c>
    </row>
    <row r="117" spans="1:2">
      <c r="A117" t="str">
        <f>Prices!A123</f>
        <v>20520-00</v>
      </c>
      <c r="B117" s="470">
        <f>IF('Flow Indicator Parts List'!$D$2="CDN$",_xlfn.XLOOKUP(A117,Prices!A:A,Prices!D:D),IF('Flow Indicator Parts List'!$D$2="US$",_xlfn.XLOOKUP(CurrencyModifier!A117,Prices!A:A,Prices!E:E,"MISSING")))</f>
        <v>8.8149999999999995</v>
      </c>
    </row>
    <row r="118" spans="1:2">
      <c r="A118" t="str">
        <f>Prices!A124</f>
        <v>20520-01</v>
      </c>
      <c r="B118" s="470">
        <f>IF('Flow Indicator Parts List'!$D$2="CDN$",_xlfn.XLOOKUP(A118,Prices!A:A,Prices!D:D),IF('Flow Indicator Parts List'!$D$2="US$",_xlfn.XLOOKUP(CurrencyModifier!A118,Prices!A:A,Prices!E:E,"MISSING")))</f>
        <v>5.9580000000000002</v>
      </c>
    </row>
    <row r="119" spans="1:2">
      <c r="A119" t="str">
        <f>Prices!A125</f>
        <v>20520-V0</v>
      </c>
      <c r="B119" s="470">
        <f>IF('Flow Indicator Parts List'!$D$2="CDN$",_xlfn.XLOOKUP(A119,Prices!A:A,Prices!D:D),IF('Flow Indicator Parts List'!$D$2="US$",_xlfn.XLOOKUP(CurrencyModifier!A119,Prices!A:A,Prices!E:E,"MISSING")))</f>
        <v>11.153</v>
      </c>
    </row>
    <row r="120" spans="1:2">
      <c r="A120" t="str">
        <f>Prices!A126</f>
        <v>20521-00</v>
      </c>
      <c r="B120" s="470">
        <f>IF('Flow Indicator Parts List'!$D$2="CDN$",_xlfn.XLOOKUP(A120,Prices!A:A,Prices!D:D),IF('Flow Indicator Parts List'!$D$2="US$",_xlfn.XLOOKUP(CurrencyModifier!A120,Prices!A:A,Prices!E:E,"MISSING")))</f>
        <v>4.7699999999999996</v>
      </c>
    </row>
    <row r="121" spans="1:2">
      <c r="A121" t="str">
        <f>Prices!A127</f>
        <v>20521-01</v>
      </c>
      <c r="B121" s="470">
        <f>IF('Flow Indicator Parts List'!$D$2="CDN$",_xlfn.XLOOKUP(A121,Prices!A:A,Prices!D:D),IF('Flow Indicator Parts List'!$D$2="US$",_xlfn.XLOOKUP(CurrencyModifier!A121,Prices!A:A,Prices!E:E,"MISSING")))</f>
        <v>2.625</v>
      </c>
    </row>
    <row r="122" spans="1:2">
      <c r="A122" t="str">
        <f>Prices!A128</f>
        <v>20522-00</v>
      </c>
      <c r="B122" s="470">
        <f>IF('Flow Indicator Parts List'!$D$2="CDN$",_xlfn.XLOOKUP(A122,Prices!A:A,Prices!D:D),IF('Flow Indicator Parts List'!$D$2="US$",_xlfn.XLOOKUP(CurrencyModifier!A122,Prices!A:A,Prices!E:E,"MISSING")))</f>
        <v>11.108000000000001</v>
      </c>
    </row>
    <row r="123" spans="1:2">
      <c r="A123" t="str">
        <f>Prices!A129</f>
        <v>20522-01</v>
      </c>
      <c r="B123" s="470">
        <f>IF('Flow Indicator Parts List'!$D$2="CDN$",_xlfn.XLOOKUP(A123,Prices!A:A,Prices!D:D),IF('Flow Indicator Parts List'!$D$2="US$",_xlfn.XLOOKUP(CurrencyModifier!A123,Prices!A:A,Prices!E:E,"MISSING")))</f>
        <v>8.1289999999999996</v>
      </c>
    </row>
    <row r="124" spans="1:2">
      <c r="A124" t="str">
        <f>Prices!A130</f>
        <v>20522-V0</v>
      </c>
      <c r="B124" s="470">
        <f>IF('Flow Indicator Parts List'!$D$2="CDN$",_xlfn.XLOOKUP(A124,Prices!A:A,Prices!D:D),IF('Flow Indicator Parts List'!$D$2="US$",_xlfn.XLOOKUP(CurrencyModifier!A124,Prices!A:A,Prices!E:E,"MISSING")))</f>
        <v>15.772</v>
      </c>
    </row>
    <row r="125" spans="1:2">
      <c r="A125" t="str">
        <f>Prices!A131</f>
        <v>20523-00</v>
      </c>
      <c r="B125" s="470">
        <f>IF('Flow Indicator Parts List'!$D$2="CDN$",_xlfn.XLOOKUP(A125,Prices!A:A,Prices!D:D),IF('Flow Indicator Parts List'!$D$2="US$",_xlfn.XLOOKUP(CurrencyModifier!A125,Prices!A:A,Prices!E:E,"MISSING")))</f>
        <v>9.2880000000000003</v>
      </c>
    </row>
    <row r="126" spans="1:2">
      <c r="A126" t="str">
        <f>Prices!A132</f>
        <v>20523-01</v>
      </c>
      <c r="B126" s="470">
        <f>IF('Flow Indicator Parts List'!$D$2="CDN$",_xlfn.XLOOKUP(A126,Prices!A:A,Prices!D:D),IF('Flow Indicator Parts List'!$D$2="US$",_xlfn.XLOOKUP(CurrencyModifier!A126,Prices!A:A,Prices!E:E,"MISSING")))</f>
        <v>6.6920000000000002</v>
      </c>
    </row>
    <row r="127" spans="1:2">
      <c r="A127" t="str">
        <f>Prices!A133</f>
        <v>20523-V0</v>
      </c>
      <c r="B127" s="470">
        <f>IF('Flow Indicator Parts List'!$D$2="CDN$",_xlfn.XLOOKUP(A127,Prices!A:A,Prices!D:D),IF('Flow Indicator Parts List'!$D$2="US$",_xlfn.XLOOKUP(CurrencyModifier!A127,Prices!A:A,Prices!E:E,"MISSING")))</f>
        <v>11.622999999999999</v>
      </c>
    </row>
    <row r="128" spans="1:2">
      <c r="A128" t="str">
        <f>Prices!A134</f>
        <v>20524-00</v>
      </c>
      <c r="B128" s="470">
        <f>IF('Flow Indicator Parts List'!$D$2="CDN$",_xlfn.XLOOKUP(A128,Prices!A:A,Prices!D:D),IF('Flow Indicator Parts List'!$D$2="US$",_xlfn.XLOOKUP(CurrencyModifier!A128,Prices!A:A,Prices!E:E,"MISSING")))</f>
        <v>9.2880000000000003</v>
      </c>
    </row>
    <row r="129" spans="1:2">
      <c r="A129" t="str">
        <f>Prices!A135</f>
        <v>20524-01</v>
      </c>
      <c r="B129" s="470">
        <f>IF('Flow Indicator Parts List'!$D$2="CDN$",_xlfn.XLOOKUP(A129,Prices!A:A,Prices!D:D),IF('Flow Indicator Parts List'!$D$2="US$",_xlfn.XLOOKUP(CurrencyModifier!A129,Prices!A:A,Prices!E:E,"MISSING")))</f>
        <v>6.6920000000000002</v>
      </c>
    </row>
    <row r="130" spans="1:2">
      <c r="A130" t="str">
        <f>Prices!A136</f>
        <v>20524-V0</v>
      </c>
      <c r="B130" s="470">
        <f>IF('Flow Indicator Parts List'!$D$2="CDN$",_xlfn.XLOOKUP(A130,Prices!A:A,Prices!D:D),IF('Flow Indicator Parts List'!$D$2="US$",_xlfn.XLOOKUP(CurrencyModifier!A130,Prices!A:A,Prices!E:E,"MISSING")))</f>
        <v>11.622999999999999</v>
      </c>
    </row>
    <row r="131" spans="1:2">
      <c r="A131" t="str">
        <f>Prices!A137</f>
        <v>20525-00</v>
      </c>
      <c r="B131" s="470">
        <f>IF('Flow Indicator Parts List'!$D$2="CDN$",_xlfn.XLOOKUP(A131,Prices!A:A,Prices!D:D),IF('Flow Indicator Parts List'!$D$2="US$",_xlfn.XLOOKUP(CurrencyModifier!A131,Prices!A:A,Prices!E:E,"MISSING")))</f>
        <v>11.109</v>
      </c>
    </row>
    <row r="132" spans="1:2">
      <c r="A132" t="str">
        <f>Prices!A138</f>
        <v>20525-01</v>
      </c>
      <c r="B132" s="470">
        <f>IF('Flow Indicator Parts List'!$D$2="CDN$",_xlfn.XLOOKUP(A132,Prices!A:A,Prices!D:D),IF('Flow Indicator Parts List'!$D$2="US$",_xlfn.XLOOKUP(CurrencyModifier!A132,Prices!A:A,Prices!E:E,"MISSING")))</f>
        <v>10.333</v>
      </c>
    </row>
    <row r="133" spans="1:2">
      <c r="A133" t="str">
        <f>Prices!A139</f>
        <v>20525-V0</v>
      </c>
      <c r="B133" s="470">
        <f>IF('Flow Indicator Parts List'!$D$2="CDN$",_xlfn.XLOOKUP(A133,Prices!A:A,Prices!D:D),IF('Flow Indicator Parts List'!$D$2="US$",_xlfn.XLOOKUP(CurrencyModifier!A133,Prices!A:A,Prices!E:E,"MISSING")))</f>
        <v>15.773999999999999</v>
      </c>
    </row>
    <row r="134" spans="1:2">
      <c r="A134" t="str">
        <f>Prices!A140</f>
        <v>20526-00</v>
      </c>
      <c r="B134" s="470">
        <f>IF('Flow Indicator Parts List'!$D$2="CDN$",_xlfn.XLOOKUP(A134,Prices!A:A,Prices!D:D),IF('Flow Indicator Parts List'!$D$2="US$",_xlfn.XLOOKUP(CurrencyModifier!A134,Prices!A:A,Prices!E:E,"MISSING")))</f>
        <v>11.108000000000001</v>
      </c>
    </row>
    <row r="135" spans="1:2">
      <c r="A135" t="str">
        <f>Prices!A141</f>
        <v>20526-01</v>
      </c>
      <c r="B135" s="470">
        <f>IF('Flow Indicator Parts List'!$D$2="CDN$",_xlfn.XLOOKUP(A135,Prices!A:A,Prices!D:D),IF('Flow Indicator Parts List'!$D$2="US$",_xlfn.XLOOKUP(CurrencyModifier!A135,Prices!A:A,Prices!E:E,"MISSING")))</f>
        <v>8.1289999999999996</v>
      </c>
    </row>
    <row r="136" spans="1:2">
      <c r="A136" t="str">
        <f>Prices!A142</f>
        <v>20526-V0</v>
      </c>
      <c r="B136" s="470">
        <f>IF('Flow Indicator Parts List'!$D$2="CDN$",_xlfn.XLOOKUP(A136,Prices!A:A,Prices!D:D),IF('Flow Indicator Parts List'!$D$2="US$",_xlfn.XLOOKUP(CurrencyModifier!A136,Prices!A:A,Prices!E:E,"MISSING")))</f>
        <v>15.772</v>
      </c>
    </row>
    <row r="137" spans="1:2">
      <c r="A137" t="str">
        <f>Prices!A143</f>
        <v>20527-00</v>
      </c>
      <c r="B137" s="470">
        <f>IF('Flow Indicator Parts List'!$D$2="CDN$",_xlfn.XLOOKUP(A137,Prices!A:A,Prices!D:D),IF('Flow Indicator Parts List'!$D$2="US$",_xlfn.XLOOKUP(CurrencyModifier!A137,Prices!A:A,Prices!E:E,"MISSING")))</f>
        <v>11.753</v>
      </c>
    </row>
    <row r="138" spans="1:2">
      <c r="A138" t="str">
        <f>Prices!A144</f>
        <v>20527-01</v>
      </c>
      <c r="B138" s="470">
        <f>IF('Flow Indicator Parts List'!$D$2="CDN$",_xlfn.XLOOKUP(A138,Prices!A:A,Prices!D:D),IF('Flow Indicator Parts List'!$D$2="US$",_xlfn.XLOOKUP(CurrencyModifier!A138,Prices!A:A,Prices!E:E,"MISSING")))</f>
        <v>4.7089999999999996</v>
      </c>
    </row>
    <row r="139" spans="1:2">
      <c r="A139" t="str">
        <f>Prices!A145</f>
        <v>20527-V0</v>
      </c>
      <c r="B139" s="470">
        <f>IF('Flow Indicator Parts List'!$D$2="CDN$",_xlfn.XLOOKUP(A139,Prices!A:A,Prices!D:D),IF('Flow Indicator Parts List'!$D$2="US$",_xlfn.XLOOKUP(CurrencyModifier!A139,Prices!A:A,Prices!E:E,"MISSING")))</f>
        <v>15.375</v>
      </c>
    </row>
    <row r="140" spans="1:2">
      <c r="A140" t="str">
        <f>Prices!A146</f>
        <v>20528-00</v>
      </c>
      <c r="B140" s="470">
        <f>IF('Flow Indicator Parts List'!$D$2="CDN$",_xlfn.XLOOKUP(A140,Prices!A:A,Prices!D:D),IF('Flow Indicator Parts List'!$D$2="US$",_xlfn.XLOOKUP(CurrencyModifier!A140,Prices!A:A,Prices!E:E,"MISSING")))</f>
        <v>8.1430000000000007</v>
      </c>
    </row>
    <row r="141" spans="1:2">
      <c r="A141" t="str">
        <f>Prices!A147</f>
        <v>20528-V0</v>
      </c>
      <c r="B141" s="470">
        <f>IF('Flow Indicator Parts List'!$D$2="CDN$",_xlfn.XLOOKUP(A141,Prices!A:A,Prices!D:D),IF('Flow Indicator Parts List'!$D$2="US$",_xlfn.XLOOKUP(CurrencyModifier!A141,Prices!A:A,Prices!E:E,"MISSING")))</f>
        <v>14.635999999999999</v>
      </c>
    </row>
    <row r="142" spans="1:2">
      <c r="A142" t="str">
        <f>Prices!A148</f>
        <v>20529-00</v>
      </c>
      <c r="B142" s="470">
        <f>IF('Flow Indicator Parts List'!$D$2="CDN$",_xlfn.XLOOKUP(A142,Prices!A:A,Prices!D:D),IF('Flow Indicator Parts List'!$D$2="US$",_xlfn.XLOOKUP(CurrencyModifier!A142,Prices!A:A,Prices!E:E,"MISSING")))</f>
        <v>4.1630000000000003</v>
      </c>
    </row>
    <row r="143" spans="1:2">
      <c r="A143" t="str">
        <f>Prices!A149</f>
        <v>20529-01</v>
      </c>
      <c r="B143" s="470">
        <f>IF('Flow Indicator Parts List'!$D$2="CDN$",_xlfn.XLOOKUP(A143,Prices!A:A,Prices!D:D),IF('Flow Indicator Parts List'!$D$2="US$",_xlfn.XLOOKUP(CurrencyModifier!A143,Prices!A:A,Prices!E:E,"MISSING")))</f>
        <v>3.673</v>
      </c>
    </row>
    <row r="144" spans="1:2">
      <c r="A144" t="str">
        <f>Prices!A150</f>
        <v>20529-V0</v>
      </c>
      <c r="B144" s="470">
        <f>IF('Flow Indicator Parts List'!$D$2="CDN$",_xlfn.XLOOKUP(A144,Prices!A:A,Prices!D:D),IF('Flow Indicator Parts List'!$D$2="US$",_xlfn.XLOOKUP(CurrencyModifier!A144,Prices!A:A,Prices!E:E,"MISSING")))</f>
        <v>6.4870000000000001</v>
      </c>
    </row>
    <row r="145" spans="1:2">
      <c r="A145" t="str">
        <f>Prices!A151</f>
        <v>20530-00</v>
      </c>
      <c r="B145" s="470">
        <f>IF('Flow Indicator Parts List'!$D$2="CDN$",_xlfn.XLOOKUP(A145,Prices!A:A,Prices!D:D),IF('Flow Indicator Parts List'!$D$2="US$",_xlfn.XLOOKUP(CurrencyModifier!A145,Prices!A:A,Prices!E:E,"MISSING")))</f>
        <v>4.9809999999999999</v>
      </c>
    </row>
    <row r="146" spans="1:2">
      <c r="A146" t="str">
        <f>Prices!A152</f>
        <v>20530-01</v>
      </c>
      <c r="B146" s="470">
        <f>IF('Flow Indicator Parts List'!$D$2="CDN$",_xlfn.XLOOKUP(A146,Prices!A:A,Prices!D:D),IF('Flow Indicator Parts List'!$D$2="US$",_xlfn.XLOOKUP(CurrencyModifier!A146,Prices!A:A,Prices!E:E,"MISSING")))</f>
        <v>3.0390000000000001</v>
      </c>
    </row>
    <row r="147" spans="1:2">
      <c r="A147" t="str">
        <f>Prices!A153</f>
        <v>20535-00</v>
      </c>
      <c r="B147" s="470">
        <f>IF('Flow Indicator Parts List'!$D$2="CDN$",_xlfn.XLOOKUP(A147,Prices!A:A,Prices!D:D),IF('Flow Indicator Parts List'!$D$2="US$",_xlfn.XLOOKUP(CurrencyModifier!A147,Prices!A:A,Prices!E:E,"MISSING")))</f>
        <v>4.9809999999999999</v>
      </c>
    </row>
    <row r="148" spans="1:2">
      <c r="A148" t="str">
        <f>Prices!A154</f>
        <v>20535-01</v>
      </c>
      <c r="B148" s="470">
        <f>IF('Flow Indicator Parts List'!$D$2="CDN$",_xlfn.XLOOKUP(A148,Prices!A:A,Prices!D:D),IF('Flow Indicator Parts List'!$D$2="US$",_xlfn.XLOOKUP(CurrencyModifier!A148,Prices!A:A,Prices!E:E,"MISSING")))</f>
        <v>3.0390000000000001</v>
      </c>
    </row>
    <row r="149" spans="1:2">
      <c r="A149" t="str">
        <f>Prices!A155</f>
        <v>20536-00</v>
      </c>
      <c r="B149" s="470">
        <f>IF('Flow Indicator Parts List'!$D$2="CDN$",_xlfn.XLOOKUP(A149,Prices!A:A,Prices!D:D),IF('Flow Indicator Parts List'!$D$2="US$",_xlfn.XLOOKUP(CurrencyModifier!A149,Prices!A:A,Prices!E:E,"MISSING")))</f>
        <v>4.9809999999999999</v>
      </c>
    </row>
    <row r="150" spans="1:2">
      <c r="A150" t="str">
        <f>Prices!A156</f>
        <v>20536-01</v>
      </c>
      <c r="B150" s="470">
        <f>IF('Flow Indicator Parts List'!$D$2="CDN$",_xlfn.XLOOKUP(A150,Prices!A:A,Prices!D:D),IF('Flow Indicator Parts List'!$D$2="US$",_xlfn.XLOOKUP(CurrencyModifier!A150,Prices!A:A,Prices!E:E,"MISSING")))</f>
        <v>3.0390000000000001</v>
      </c>
    </row>
    <row r="151" spans="1:2">
      <c r="A151" t="str">
        <f>Prices!A157</f>
        <v>20537-00</v>
      </c>
      <c r="B151" s="470">
        <f>IF('Flow Indicator Parts List'!$D$2="CDN$",_xlfn.XLOOKUP(A151,Prices!A:A,Prices!D:D),IF('Flow Indicator Parts List'!$D$2="US$",_xlfn.XLOOKUP(CurrencyModifier!A151,Prices!A:A,Prices!E:E,"MISSING")))</f>
        <v>4.9809999999999999</v>
      </c>
    </row>
    <row r="152" spans="1:2">
      <c r="A152" t="str">
        <f>Prices!A158</f>
        <v>20537-01</v>
      </c>
      <c r="B152" s="470">
        <f>IF('Flow Indicator Parts List'!$D$2="CDN$",_xlfn.XLOOKUP(A152,Prices!A:A,Prices!D:D),IF('Flow Indicator Parts List'!$D$2="US$",_xlfn.XLOOKUP(CurrencyModifier!A152,Prices!A:A,Prices!E:E,"MISSING")))</f>
        <v>3.0390000000000001</v>
      </c>
    </row>
    <row r="153" spans="1:2">
      <c r="A153" t="str">
        <f>Prices!A159</f>
        <v>20540-00</v>
      </c>
      <c r="B153" s="470">
        <f>IF('Flow Indicator Parts List'!$D$2="CDN$",_xlfn.XLOOKUP(A153,Prices!A:A,Prices!D:D),IF('Flow Indicator Parts List'!$D$2="US$",_xlfn.XLOOKUP(CurrencyModifier!A153,Prices!A:A,Prices!E:E,"MISSING")))</f>
        <v>8.14</v>
      </c>
    </row>
    <row r="154" spans="1:2">
      <c r="A154" t="str">
        <f>Prices!A160</f>
        <v>20540-01</v>
      </c>
      <c r="B154" s="470">
        <f>IF('Flow Indicator Parts List'!$D$2="CDN$",_xlfn.XLOOKUP(A154,Prices!A:A,Prices!D:D),IF('Flow Indicator Parts List'!$D$2="US$",_xlfn.XLOOKUP(CurrencyModifier!A154,Prices!A:A,Prices!E:E,"MISSING")))</f>
        <v>3.0409999999999999</v>
      </c>
    </row>
    <row r="155" spans="1:2">
      <c r="A155" t="str">
        <f>Prices!A161</f>
        <v>20541-00</v>
      </c>
      <c r="B155" s="470">
        <f>IF('Flow Indicator Parts List'!$D$2="CDN$",_xlfn.XLOOKUP(A155,Prices!A:A,Prices!D:D),IF('Flow Indicator Parts List'!$D$2="US$",_xlfn.XLOOKUP(CurrencyModifier!A155,Prices!A:A,Prices!E:E,"MISSING")))</f>
        <v>8.9589999999999996</v>
      </c>
    </row>
    <row r="156" spans="1:2">
      <c r="A156" t="str">
        <f>Prices!A162</f>
        <v>20541-01</v>
      </c>
      <c r="B156" s="470">
        <f>IF('Flow Indicator Parts List'!$D$2="CDN$",_xlfn.XLOOKUP(A156,Prices!A:A,Prices!D:D),IF('Flow Indicator Parts List'!$D$2="US$",_xlfn.XLOOKUP(CurrencyModifier!A156,Prices!A:A,Prices!E:E,"MISSING")))</f>
        <v>3.0409999999999999</v>
      </c>
    </row>
    <row r="157" spans="1:2">
      <c r="A157" t="str">
        <f>Prices!A163</f>
        <v>20542-00</v>
      </c>
      <c r="B157" s="470">
        <f>IF('Flow Indicator Parts List'!$D$2="CDN$",_xlfn.XLOOKUP(A157,Prices!A:A,Prices!D:D),IF('Flow Indicator Parts List'!$D$2="US$",_xlfn.XLOOKUP(CurrencyModifier!A157,Prices!A:A,Prices!E:E,"MISSING")))</f>
        <v>8.9589999999999996</v>
      </c>
    </row>
    <row r="158" spans="1:2">
      <c r="A158" t="str">
        <f>Prices!A164</f>
        <v>20542-01</v>
      </c>
      <c r="B158" s="470">
        <f>IF('Flow Indicator Parts List'!$D$2="CDN$",_xlfn.XLOOKUP(A158,Prices!A:A,Prices!D:D),IF('Flow Indicator Parts List'!$D$2="US$",_xlfn.XLOOKUP(CurrencyModifier!A158,Prices!A:A,Prices!E:E,"MISSING")))</f>
        <v>3.0409999999999999</v>
      </c>
    </row>
    <row r="159" spans="1:2">
      <c r="A159" t="str">
        <f>Prices!A165</f>
        <v>20549-00</v>
      </c>
      <c r="B159" s="470">
        <f>IF('Flow Indicator Parts List'!$D$2="CDN$",_xlfn.XLOOKUP(A159,Prices!A:A,Prices!D:D),IF('Flow Indicator Parts List'!$D$2="US$",_xlfn.XLOOKUP(CurrencyModifier!A159,Prices!A:A,Prices!E:E,"MISSING")))</f>
        <v>4.9169999999999998</v>
      </c>
    </row>
    <row r="160" spans="1:2">
      <c r="A160" t="str">
        <f>Prices!A166</f>
        <v>20549-01</v>
      </c>
      <c r="B160" s="470">
        <f>IF('Flow Indicator Parts List'!$D$2="CDN$",_xlfn.XLOOKUP(A160,Prices!A:A,Prices!D:D),IF('Flow Indicator Parts List'!$D$2="US$",_xlfn.XLOOKUP(CurrencyModifier!A160,Prices!A:A,Prices!E:E,"MISSING")))</f>
        <v>2.8849999999999998</v>
      </c>
    </row>
    <row r="161" spans="1:2">
      <c r="A161" t="str">
        <f>Prices!A167</f>
        <v>20549-V0</v>
      </c>
      <c r="B161" s="470">
        <f>IF('Flow Indicator Parts List'!$D$2="CDN$",_xlfn.XLOOKUP(A161,Prices!A:A,Prices!D:D),IF('Flow Indicator Parts List'!$D$2="US$",_xlfn.XLOOKUP(CurrencyModifier!A161,Prices!A:A,Prices!E:E,"MISSING")))</f>
        <v>7.2460000000000004</v>
      </c>
    </row>
    <row r="162" spans="1:2">
      <c r="A162" t="str">
        <f>Prices!A168</f>
        <v>20550-00</v>
      </c>
      <c r="B162" s="470">
        <f>IF('Flow Indicator Parts List'!$D$2="CDN$",_xlfn.XLOOKUP(A162,Prices!A:A,Prices!D:D),IF('Flow Indicator Parts List'!$D$2="US$",_xlfn.XLOOKUP(CurrencyModifier!A162,Prices!A:A,Prices!E:E,"MISSING")))</f>
        <v>11.874000000000001</v>
      </c>
    </row>
    <row r="163" spans="1:2">
      <c r="A163" t="str">
        <f>Prices!A169</f>
        <v>20550-01</v>
      </c>
      <c r="B163" s="470">
        <f>IF('Flow Indicator Parts List'!$D$2="CDN$",_xlfn.XLOOKUP(A163,Prices!A:A,Prices!D:D),IF('Flow Indicator Parts List'!$D$2="US$",_xlfn.XLOOKUP(CurrencyModifier!A163,Prices!A:A,Prices!E:E,"MISSING")))</f>
        <v>4.4930000000000003</v>
      </c>
    </row>
    <row r="164" spans="1:2">
      <c r="A164" t="str">
        <f>Prices!A170</f>
        <v>20550-P4</v>
      </c>
      <c r="B164" s="470">
        <f>IF('Flow Indicator Parts List'!$D$2="CDN$",_xlfn.XLOOKUP(A164,Prices!A:A,Prices!D:D),IF('Flow Indicator Parts List'!$D$2="US$",_xlfn.XLOOKUP(CurrencyModifier!A164,Prices!A:A,Prices!E:E,"MISSING")))</f>
        <v>11.874000000000001</v>
      </c>
    </row>
    <row r="165" spans="1:2">
      <c r="A165" t="str">
        <f>Prices!A171</f>
        <v>20550-V0</v>
      </c>
      <c r="B165" s="470">
        <f>IF('Flow Indicator Parts List'!$D$2="CDN$",_xlfn.XLOOKUP(A165,Prices!A:A,Prices!D:D),IF('Flow Indicator Parts List'!$D$2="US$",_xlfn.XLOOKUP(CurrencyModifier!A165,Prices!A:A,Prices!E:E,"MISSING")))</f>
        <v>17.178999999999998</v>
      </c>
    </row>
    <row r="166" spans="1:2">
      <c r="A166" t="str">
        <f>Prices!A172</f>
        <v>20551-00</v>
      </c>
      <c r="B166" s="470">
        <f>IF('Flow Indicator Parts List'!$D$2="CDN$",_xlfn.XLOOKUP(A166,Prices!A:A,Prices!D:D),IF('Flow Indicator Parts List'!$D$2="US$",_xlfn.XLOOKUP(CurrencyModifier!A166,Prices!A:A,Prices!E:E,"MISSING")))</f>
        <v>13.654999999999999</v>
      </c>
    </row>
    <row r="167" spans="1:2">
      <c r="A167" t="str">
        <f>Prices!A173</f>
        <v>20551-P4</v>
      </c>
      <c r="B167" s="470">
        <f>IF('Flow Indicator Parts List'!$D$2="CDN$",_xlfn.XLOOKUP(A167,Prices!A:A,Prices!D:D),IF('Flow Indicator Parts List'!$D$2="US$",_xlfn.XLOOKUP(CurrencyModifier!A167,Prices!A:A,Prices!E:E,"MISSING")))</f>
        <v>13.654999999999999</v>
      </c>
    </row>
    <row r="168" spans="1:2">
      <c r="A168" t="str">
        <f>Prices!A174</f>
        <v>20551-V0</v>
      </c>
      <c r="B168" s="470">
        <f>IF('Flow Indicator Parts List'!$D$2="CDN$",_xlfn.XLOOKUP(A168,Prices!A:A,Prices!D:D),IF('Flow Indicator Parts List'!$D$2="US$",_xlfn.XLOOKUP(CurrencyModifier!A168,Prices!A:A,Prices!E:E,"MISSING")))</f>
        <v>18.960999999999999</v>
      </c>
    </row>
    <row r="169" spans="1:2">
      <c r="A169" t="str">
        <f>Prices!A175</f>
        <v>20552-00</v>
      </c>
      <c r="B169" s="470">
        <f>IF('Flow Indicator Parts List'!$D$2="CDN$",_xlfn.XLOOKUP(A169,Prices!A:A,Prices!D:D),IF('Flow Indicator Parts List'!$D$2="US$",_xlfn.XLOOKUP(CurrencyModifier!A169,Prices!A:A,Prices!E:E,"MISSING")))</f>
        <v>22.57</v>
      </c>
    </row>
    <row r="170" spans="1:2">
      <c r="A170" t="str">
        <f>Prices!A176</f>
        <v>20552-P4</v>
      </c>
      <c r="B170" s="470">
        <f>IF('Flow Indicator Parts List'!$D$2="CDN$",_xlfn.XLOOKUP(A170,Prices!A:A,Prices!D:D),IF('Flow Indicator Parts List'!$D$2="US$",_xlfn.XLOOKUP(CurrencyModifier!A170,Prices!A:A,Prices!E:E,"MISSING")))</f>
        <v>22.57</v>
      </c>
    </row>
    <row r="171" spans="1:2">
      <c r="A171" t="str">
        <f>Prices!A177</f>
        <v>20552-V0</v>
      </c>
      <c r="B171" s="470">
        <f>IF('Flow Indicator Parts List'!$D$2="CDN$",_xlfn.XLOOKUP(A171,Prices!A:A,Prices!D:D),IF('Flow Indicator Parts List'!$D$2="US$",_xlfn.XLOOKUP(CurrencyModifier!A171,Prices!A:A,Prices!E:E,"MISSING")))</f>
        <v>27.875</v>
      </c>
    </row>
    <row r="172" spans="1:2">
      <c r="A172" t="str">
        <f>Prices!A178</f>
        <v>20553-00</v>
      </c>
      <c r="B172" s="470">
        <f>IF('Flow Indicator Parts List'!$D$2="CDN$",_xlfn.XLOOKUP(A172,Prices!A:A,Prices!D:D),IF('Flow Indicator Parts List'!$D$2="US$",_xlfn.XLOOKUP(CurrencyModifier!A172,Prices!A:A,Prices!E:E,"MISSING")))</f>
        <v>7.09</v>
      </c>
    </row>
    <row r="173" spans="1:2">
      <c r="A173" t="str">
        <f>Prices!A179</f>
        <v>20553-P4</v>
      </c>
      <c r="B173" s="470">
        <f>IF('Flow Indicator Parts List'!$D$2="CDN$",_xlfn.XLOOKUP(A173,Prices!A:A,Prices!D:D),IF('Flow Indicator Parts List'!$D$2="US$",_xlfn.XLOOKUP(CurrencyModifier!A173,Prices!A:A,Prices!E:E,"MISSING")))</f>
        <v>7.09</v>
      </c>
    </row>
    <row r="174" spans="1:2">
      <c r="A174" t="str">
        <f>Prices!A180</f>
        <v>20553-V0</v>
      </c>
      <c r="B174" s="470">
        <f>IF('Flow Indicator Parts List'!$D$2="CDN$",_xlfn.XLOOKUP(A174,Prices!A:A,Prices!D:D),IF('Flow Indicator Parts List'!$D$2="US$",_xlfn.XLOOKUP(CurrencyModifier!A174,Prices!A:A,Prices!E:E,"MISSING")))</f>
        <v>9.4109999999999996</v>
      </c>
    </row>
    <row r="175" spans="1:2">
      <c r="A175" t="str">
        <f>Prices!A181</f>
        <v>20555-00</v>
      </c>
      <c r="B175" s="470">
        <f>IF('Flow Indicator Parts List'!$D$2="CDN$",_xlfn.XLOOKUP(A175,Prices!A:A,Prices!D:D),IF('Flow Indicator Parts List'!$D$2="US$",_xlfn.XLOOKUP(CurrencyModifier!A175,Prices!A:A,Prices!E:E,"MISSING")))</f>
        <v>11.874000000000001</v>
      </c>
    </row>
    <row r="176" spans="1:2">
      <c r="A176" t="str">
        <f>Prices!A182</f>
        <v>20555-01</v>
      </c>
      <c r="B176" s="470">
        <f>IF('Flow Indicator Parts List'!$D$2="CDN$",_xlfn.XLOOKUP(A176,Prices!A:A,Prices!D:D),IF('Flow Indicator Parts List'!$D$2="US$",_xlfn.XLOOKUP(CurrencyModifier!A176,Prices!A:A,Prices!E:E,"MISSING")))</f>
        <v>4.4930000000000003</v>
      </c>
    </row>
    <row r="177" spans="1:2">
      <c r="A177" t="str">
        <f>Prices!A183</f>
        <v>20555-P4</v>
      </c>
      <c r="B177" s="470">
        <f>IF('Flow Indicator Parts List'!$D$2="CDN$",_xlfn.XLOOKUP(A177,Prices!A:A,Prices!D:D),IF('Flow Indicator Parts List'!$D$2="US$",_xlfn.XLOOKUP(CurrencyModifier!A177,Prices!A:A,Prices!E:E,"MISSING")))</f>
        <v>11.874000000000001</v>
      </c>
    </row>
    <row r="178" spans="1:2">
      <c r="A178" t="str">
        <f>Prices!A184</f>
        <v>20555-V0</v>
      </c>
      <c r="B178" s="470">
        <f>IF('Flow Indicator Parts List'!$D$2="CDN$",_xlfn.XLOOKUP(A178,Prices!A:A,Prices!D:D),IF('Flow Indicator Parts List'!$D$2="US$",_xlfn.XLOOKUP(CurrencyModifier!A178,Prices!A:A,Prices!E:E,"MISSING")))</f>
        <v>17.178999999999998</v>
      </c>
    </row>
    <row r="179" spans="1:2">
      <c r="A179" t="str">
        <f>Prices!A185</f>
        <v>20556-00</v>
      </c>
      <c r="B179" s="470">
        <f>IF('Flow Indicator Parts List'!$D$2="CDN$",_xlfn.XLOOKUP(A179,Prices!A:A,Prices!D:D),IF('Flow Indicator Parts List'!$D$2="US$",_xlfn.XLOOKUP(CurrencyModifier!A179,Prices!A:A,Prices!E:E,"MISSING")))</f>
        <v>13.654999999999999</v>
      </c>
    </row>
    <row r="180" spans="1:2">
      <c r="A180" t="str">
        <f>Prices!A186</f>
        <v>20556-P4</v>
      </c>
      <c r="B180" s="470">
        <f>IF('Flow Indicator Parts List'!$D$2="CDN$",_xlfn.XLOOKUP(A180,Prices!A:A,Prices!D:D),IF('Flow Indicator Parts List'!$D$2="US$",_xlfn.XLOOKUP(CurrencyModifier!A180,Prices!A:A,Prices!E:E,"MISSING")))</f>
        <v>13.654999999999999</v>
      </c>
    </row>
    <row r="181" spans="1:2">
      <c r="A181" t="str">
        <f>Prices!A187</f>
        <v>20556-V0</v>
      </c>
      <c r="B181" s="470">
        <f>IF('Flow Indicator Parts List'!$D$2="CDN$",_xlfn.XLOOKUP(A181,Prices!A:A,Prices!D:D),IF('Flow Indicator Parts List'!$D$2="US$",_xlfn.XLOOKUP(CurrencyModifier!A181,Prices!A:A,Prices!E:E,"MISSING")))</f>
        <v>18.960999999999999</v>
      </c>
    </row>
    <row r="182" spans="1:2">
      <c r="A182" t="str">
        <f>Prices!A188</f>
        <v>20557-00</v>
      </c>
      <c r="B182" s="470">
        <f>IF('Flow Indicator Parts List'!$D$2="CDN$",_xlfn.XLOOKUP(A182,Prices!A:A,Prices!D:D),IF('Flow Indicator Parts List'!$D$2="US$",_xlfn.XLOOKUP(CurrencyModifier!A182,Prices!A:A,Prices!E:E,"MISSING")))</f>
        <v>22.57</v>
      </c>
    </row>
    <row r="183" spans="1:2">
      <c r="A183" t="str">
        <f>Prices!A189</f>
        <v>20557-P4</v>
      </c>
      <c r="B183" s="470">
        <f>IF('Flow Indicator Parts List'!$D$2="CDN$",_xlfn.XLOOKUP(A183,Prices!A:A,Prices!D:D),IF('Flow Indicator Parts List'!$D$2="US$",_xlfn.XLOOKUP(CurrencyModifier!A183,Prices!A:A,Prices!E:E,"MISSING")))</f>
        <v>22.57</v>
      </c>
    </row>
    <row r="184" spans="1:2">
      <c r="A184" t="str">
        <f>Prices!A190</f>
        <v>20557-V0</v>
      </c>
      <c r="B184" s="470">
        <f>IF('Flow Indicator Parts List'!$D$2="CDN$",_xlfn.XLOOKUP(A184,Prices!A:A,Prices!D:D),IF('Flow Indicator Parts List'!$D$2="US$",_xlfn.XLOOKUP(CurrencyModifier!A184,Prices!A:A,Prices!E:E,"MISSING")))</f>
        <v>27.875</v>
      </c>
    </row>
    <row r="185" spans="1:2">
      <c r="A185" t="str">
        <f>Prices!A191</f>
        <v>20558-00</v>
      </c>
      <c r="B185" s="470">
        <f>IF('Flow Indicator Parts List'!$D$2="CDN$",_xlfn.XLOOKUP(A185,Prices!A:A,Prices!D:D),IF('Flow Indicator Parts List'!$D$2="US$",_xlfn.XLOOKUP(CurrencyModifier!A185,Prices!A:A,Prices!E:E,"MISSING")))</f>
        <v>7.09</v>
      </c>
    </row>
    <row r="186" spans="1:2">
      <c r="A186" t="str">
        <f>Prices!A192</f>
        <v>20558-P4</v>
      </c>
      <c r="B186" s="470">
        <f>IF('Flow Indicator Parts List'!$D$2="CDN$",_xlfn.XLOOKUP(A186,Prices!A:A,Prices!D:D),IF('Flow Indicator Parts List'!$D$2="US$",_xlfn.XLOOKUP(CurrencyModifier!A186,Prices!A:A,Prices!E:E,"MISSING")))</f>
        <v>7.09</v>
      </c>
    </row>
    <row r="187" spans="1:2">
      <c r="A187" t="str">
        <f>Prices!A193</f>
        <v>20558-V0</v>
      </c>
      <c r="B187" s="470">
        <f>IF('Flow Indicator Parts List'!$D$2="CDN$",_xlfn.XLOOKUP(A187,Prices!A:A,Prices!D:D),IF('Flow Indicator Parts List'!$D$2="US$",_xlfn.XLOOKUP(CurrencyModifier!A187,Prices!A:A,Prices!E:E,"MISSING")))</f>
        <v>9.4109999999999996</v>
      </c>
    </row>
    <row r="188" spans="1:2">
      <c r="A188" t="str">
        <f>Prices!A194</f>
        <v>20560-00</v>
      </c>
      <c r="B188" s="470">
        <f>IF('Flow Indicator Parts List'!$D$2="CDN$",_xlfn.XLOOKUP(A188,Prices!A:A,Prices!D:D),IF('Flow Indicator Parts List'!$D$2="US$",_xlfn.XLOOKUP(CurrencyModifier!A188,Prices!A:A,Prices!E:E,"MISSING")))</f>
        <v>9.6859999999999999</v>
      </c>
    </row>
    <row r="189" spans="1:2">
      <c r="A189" t="str">
        <f>Prices!A195</f>
        <v>20560-01</v>
      </c>
      <c r="B189" s="470">
        <f>IF('Flow Indicator Parts List'!$D$2="CDN$",_xlfn.XLOOKUP(A189,Prices!A:A,Prices!D:D),IF('Flow Indicator Parts List'!$D$2="US$",_xlfn.XLOOKUP(CurrencyModifier!A189,Prices!A:A,Prices!E:E,"MISSING")))</f>
        <v>4.4930000000000003</v>
      </c>
    </row>
    <row r="190" spans="1:2">
      <c r="A190" t="str">
        <f>Prices!A196</f>
        <v>20560-P4</v>
      </c>
      <c r="B190" s="470">
        <f>IF('Flow Indicator Parts List'!$D$2="CDN$",_xlfn.XLOOKUP(A190,Prices!A:A,Prices!D:D),IF('Flow Indicator Parts List'!$D$2="US$",_xlfn.XLOOKUP(CurrencyModifier!A190,Prices!A:A,Prices!E:E,"MISSING")))</f>
        <v>9.6859999999999999</v>
      </c>
    </row>
    <row r="191" spans="1:2">
      <c r="A191" t="str">
        <f>Prices!A197</f>
        <v>20560-V0</v>
      </c>
      <c r="B191" s="470">
        <f>IF('Flow Indicator Parts List'!$D$2="CDN$",_xlfn.XLOOKUP(A191,Prices!A:A,Prices!D:D),IF('Flow Indicator Parts List'!$D$2="US$",_xlfn.XLOOKUP(CurrencyModifier!A191,Prices!A:A,Prices!E:E,"MISSING")))</f>
        <v>14.991</v>
      </c>
    </row>
    <row r="192" spans="1:2">
      <c r="A192" t="str">
        <f>Prices!A198</f>
        <v>20561-00</v>
      </c>
      <c r="B192" s="470">
        <f>IF('Flow Indicator Parts List'!$D$2="CDN$",_xlfn.XLOOKUP(A192,Prices!A:A,Prices!D:D),IF('Flow Indicator Parts List'!$D$2="US$",_xlfn.XLOOKUP(CurrencyModifier!A192,Prices!A:A,Prices!E:E,"MISSING")))</f>
        <v>11.467000000000001</v>
      </c>
    </row>
    <row r="193" spans="1:2">
      <c r="A193" t="str">
        <f>Prices!A199</f>
        <v>20561-P4</v>
      </c>
      <c r="B193" s="470">
        <f>IF('Flow Indicator Parts List'!$D$2="CDN$",_xlfn.XLOOKUP(A193,Prices!A:A,Prices!D:D),IF('Flow Indicator Parts List'!$D$2="US$",_xlfn.XLOOKUP(CurrencyModifier!A193,Prices!A:A,Prices!E:E,"MISSING")))</f>
        <v>11.467000000000001</v>
      </c>
    </row>
    <row r="194" spans="1:2">
      <c r="A194" t="str">
        <f>Prices!A200</f>
        <v>20561-V0</v>
      </c>
      <c r="B194" s="470">
        <f>IF('Flow Indicator Parts List'!$D$2="CDN$",_xlfn.XLOOKUP(A194,Prices!A:A,Prices!D:D),IF('Flow Indicator Parts List'!$D$2="US$",_xlfn.XLOOKUP(CurrencyModifier!A194,Prices!A:A,Prices!E:E,"MISSING")))</f>
        <v>16.771999999999998</v>
      </c>
    </row>
    <row r="195" spans="1:2">
      <c r="A195" t="str">
        <f>Prices!A201</f>
        <v>20562-00</v>
      </c>
      <c r="B195" s="470">
        <f>IF('Flow Indicator Parts List'!$D$2="CDN$",_xlfn.XLOOKUP(A195,Prices!A:A,Prices!D:D),IF('Flow Indicator Parts List'!$D$2="US$",_xlfn.XLOOKUP(CurrencyModifier!A195,Prices!A:A,Prices!E:E,"MISSING")))</f>
        <v>20.382999999999999</v>
      </c>
    </row>
    <row r="196" spans="1:2">
      <c r="A196" t="str">
        <f>Prices!A202</f>
        <v>20562-V0</v>
      </c>
      <c r="B196" s="470">
        <f>IF('Flow Indicator Parts List'!$D$2="CDN$",_xlfn.XLOOKUP(A196,Prices!A:A,Prices!D:D),IF('Flow Indicator Parts List'!$D$2="US$",_xlfn.XLOOKUP(CurrencyModifier!A196,Prices!A:A,Prices!E:E,"MISSING")))</f>
        <v>25.687999999999999</v>
      </c>
    </row>
    <row r="197" spans="1:2">
      <c r="A197" t="str">
        <f>Prices!A203</f>
        <v>20563-00</v>
      </c>
      <c r="B197" s="470">
        <f>IF('Flow Indicator Parts List'!$D$2="CDN$",_xlfn.XLOOKUP(A197,Prices!A:A,Prices!D:D),IF('Flow Indicator Parts List'!$D$2="US$",_xlfn.XLOOKUP(CurrencyModifier!A197,Prices!A:A,Prices!E:E,"MISSING")))</f>
        <v>4.9009999999999998</v>
      </c>
    </row>
    <row r="198" spans="1:2">
      <c r="A198" t="str">
        <f>Prices!A204</f>
        <v>20563-V0</v>
      </c>
      <c r="B198" s="470">
        <f>IF('Flow Indicator Parts List'!$D$2="CDN$",_xlfn.XLOOKUP(A198,Prices!A:A,Prices!D:D),IF('Flow Indicator Parts List'!$D$2="US$",_xlfn.XLOOKUP(CurrencyModifier!A198,Prices!A:A,Prices!E:E,"MISSING")))</f>
        <v>7.2229999999999999</v>
      </c>
    </row>
    <row r="199" spans="1:2">
      <c r="A199" t="str">
        <f>Prices!A205</f>
        <v>20571-00</v>
      </c>
      <c r="B199" s="470">
        <f>IF('Flow Indicator Parts List'!$D$2="CDN$",_xlfn.XLOOKUP(A199,Prices!A:A,Prices!D:D),IF('Flow Indicator Parts List'!$D$2="US$",_xlfn.XLOOKUP(CurrencyModifier!A199,Prices!A:A,Prices!E:E,"MISSING")))</f>
        <v>11.753</v>
      </c>
    </row>
    <row r="200" spans="1:2">
      <c r="A200" t="str">
        <f>Prices!A206</f>
        <v>20571-01</v>
      </c>
      <c r="B200" s="470">
        <f>IF('Flow Indicator Parts List'!$D$2="CDN$",_xlfn.XLOOKUP(A200,Prices!A:A,Prices!D:D),IF('Flow Indicator Parts List'!$D$2="US$",_xlfn.XLOOKUP(CurrencyModifier!A200,Prices!A:A,Prices!E:E,"MISSING")))</f>
        <v>4.7089999999999996</v>
      </c>
    </row>
    <row r="201" spans="1:2">
      <c r="A201" t="str">
        <f>Prices!A207</f>
        <v>20571-V0</v>
      </c>
      <c r="B201" s="470">
        <f>IF('Flow Indicator Parts List'!$D$2="CDN$",_xlfn.XLOOKUP(A201,Prices!A:A,Prices!D:D),IF('Flow Indicator Parts List'!$D$2="US$",_xlfn.XLOOKUP(CurrencyModifier!A201,Prices!A:A,Prices!E:E,"MISSING")))</f>
        <v>15.375</v>
      </c>
    </row>
    <row r="202" spans="1:2">
      <c r="A202" t="str">
        <f>Prices!A208</f>
        <v>20572-00</v>
      </c>
      <c r="B202" s="470">
        <f>IF('Flow Indicator Parts List'!$D$2="CDN$",_xlfn.XLOOKUP(A202,Prices!A:A,Prices!D:D),IF('Flow Indicator Parts List'!$D$2="US$",_xlfn.XLOOKUP(CurrencyModifier!A202,Prices!A:A,Prices!E:E,"MISSING")))</f>
        <v>14.349</v>
      </c>
    </row>
    <row r="203" spans="1:2">
      <c r="A203" t="str">
        <f>Prices!A209</f>
        <v>20572-01</v>
      </c>
      <c r="B203" s="470">
        <f>IF('Flow Indicator Parts List'!$D$2="CDN$",_xlfn.XLOOKUP(A203,Prices!A:A,Prices!D:D),IF('Flow Indicator Parts List'!$D$2="US$",_xlfn.XLOOKUP(CurrencyModifier!A203,Prices!A:A,Prices!E:E,"MISSING")))</f>
        <v>5.7220000000000004</v>
      </c>
    </row>
    <row r="204" spans="1:2">
      <c r="A204" t="str">
        <f>Prices!A210</f>
        <v>20572-V0</v>
      </c>
      <c r="B204" s="470">
        <f>IF('Flow Indicator Parts List'!$D$2="CDN$",_xlfn.XLOOKUP(A204,Prices!A:A,Prices!D:D),IF('Flow Indicator Parts List'!$D$2="US$",_xlfn.XLOOKUP(CurrencyModifier!A204,Prices!A:A,Prices!E:E,"MISSING")))</f>
        <v>17.983000000000001</v>
      </c>
    </row>
    <row r="205" spans="1:2">
      <c r="A205" t="str">
        <f>Prices!A211</f>
        <v>20573-00</v>
      </c>
      <c r="B205" s="470">
        <f>IF('Flow Indicator Parts List'!$D$2="CDN$",_xlfn.XLOOKUP(A205,Prices!A:A,Prices!D:D),IF('Flow Indicator Parts List'!$D$2="US$",_xlfn.XLOOKUP(CurrencyModifier!A205,Prices!A:A,Prices!E:E,"MISSING")))</f>
        <v>16.956</v>
      </c>
    </row>
    <row r="206" spans="1:2">
      <c r="A206" t="str">
        <f>Prices!A212</f>
        <v>20573-01</v>
      </c>
      <c r="B206" s="470">
        <f>IF('Flow Indicator Parts List'!$D$2="CDN$",_xlfn.XLOOKUP(A206,Prices!A:A,Prices!D:D),IF('Flow Indicator Parts List'!$D$2="US$",_xlfn.XLOOKUP(CurrencyModifier!A206,Prices!A:A,Prices!E:E,"MISSING")))</f>
        <v>6.734</v>
      </c>
    </row>
    <row r="207" spans="1:2">
      <c r="A207" t="str">
        <f>Prices!A213</f>
        <v>20573-V0</v>
      </c>
      <c r="B207" s="470">
        <f>IF('Flow Indicator Parts List'!$D$2="CDN$",_xlfn.XLOOKUP(A207,Prices!A:A,Prices!D:D),IF('Flow Indicator Parts List'!$D$2="US$",_xlfn.XLOOKUP(CurrencyModifier!A207,Prices!A:A,Prices!E:E,"MISSING")))</f>
        <v>20.577000000000002</v>
      </c>
    </row>
    <row r="208" spans="1:2">
      <c r="A208" t="str">
        <f>Prices!A214</f>
        <v>20574-00</v>
      </c>
      <c r="B208" s="470">
        <f>IF('Flow Indicator Parts List'!$D$2="CDN$",_xlfn.XLOOKUP(A208,Prices!A:A,Prices!D:D),IF('Flow Indicator Parts List'!$D$2="US$",_xlfn.XLOOKUP(CurrencyModifier!A208,Prices!A:A,Prices!E:E,"MISSING")))</f>
        <v>19.959</v>
      </c>
    </row>
    <row r="209" spans="1:2">
      <c r="A209" t="str">
        <f>Prices!A215</f>
        <v>20574-01</v>
      </c>
      <c r="B209" s="470">
        <f>IF('Flow Indicator Parts List'!$D$2="CDN$",_xlfn.XLOOKUP(A209,Prices!A:A,Prices!D:D),IF('Flow Indicator Parts List'!$D$2="US$",_xlfn.XLOOKUP(CurrencyModifier!A209,Prices!A:A,Prices!E:E,"MISSING")))</f>
        <v>8.1440000000000001</v>
      </c>
    </row>
    <row r="210" spans="1:2">
      <c r="A210" t="str">
        <f>Prices!A216</f>
        <v>20574-V0</v>
      </c>
      <c r="B210" s="470">
        <f>IF('Flow Indicator Parts List'!$D$2="CDN$",_xlfn.XLOOKUP(A210,Prices!A:A,Prices!D:D),IF('Flow Indicator Parts List'!$D$2="US$",_xlfn.XLOOKUP(CurrencyModifier!A210,Prices!A:A,Prices!E:E,"MISSING")))</f>
        <v>22.295000000000002</v>
      </c>
    </row>
    <row r="211" spans="1:2">
      <c r="A211" t="str">
        <f>Prices!A217</f>
        <v>20576-00</v>
      </c>
      <c r="B211" s="470">
        <f>IF('Flow Indicator Parts List'!$D$2="CDN$",_xlfn.XLOOKUP(A211,Prices!A:A,Prices!D:D),IF('Flow Indicator Parts List'!$D$2="US$",_xlfn.XLOOKUP(CurrencyModifier!A211,Prices!A:A,Prices!E:E,"MISSING")))</f>
        <v>17.157</v>
      </c>
    </row>
    <row r="212" spans="1:2">
      <c r="A212" t="str">
        <f>Prices!A218</f>
        <v>20576-01</v>
      </c>
      <c r="B212" s="470">
        <f>IF('Flow Indicator Parts List'!$D$2="CDN$",_xlfn.XLOOKUP(A212,Prices!A:A,Prices!D:D),IF('Flow Indicator Parts List'!$D$2="US$",_xlfn.XLOOKUP(CurrencyModifier!A212,Prices!A:A,Prices!E:E,"MISSING")))</f>
        <v>4.1609999999999996</v>
      </c>
    </row>
    <row r="213" spans="1:2">
      <c r="A213" t="str">
        <f>Prices!A219</f>
        <v>20576-02</v>
      </c>
      <c r="B213" s="470">
        <f>IF('Flow Indicator Parts List'!$D$2="CDN$",_xlfn.XLOOKUP(A213,Prices!A:A,Prices!D:D),IF('Flow Indicator Parts List'!$D$2="US$",_xlfn.XLOOKUP(CurrencyModifier!A213,Prices!A:A,Prices!E:E,"MISSING")))</f>
        <v>6.7910000000000004</v>
      </c>
    </row>
    <row r="214" spans="1:2">
      <c r="A214" t="str">
        <f>Prices!A220</f>
        <v>20576-03</v>
      </c>
      <c r="B214" s="470">
        <f>IF('Flow Indicator Parts List'!$D$2="CDN$",_xlfn.XLOOKUP(A214,Prices!A:A,Prices!D:D),IF('Flow Indicator Parts List'!$D$2="US$",_xlfn.XLOOKUP(CurrencyModifier!A214,Prices!A:A,Prices!E:E,"MISSING")))</f>
        <v>3.07</v>
      </c>
    </row>
    <row r="215" spans="1:2">
      <c r="A215" t="str">
        <f>Prices!A221</f>
        <v>20576-V0</v>
      </c>
      <c r="B215" s="470">
        <f>IF('Flow Indicator Parts List'!$D$2="CDN$",_xlfn.XLOOKUP(A215,Prices!A:A,Prices!D:D),IF('Flow Indicator Parts List'!$D$2="US$",_xlfn.XLOOKUP(CurrencyModifier!A215,Prices!A:A,Prices!E:E,"MISSING")))</f>
        <v>19.484999999999999</v>
      </c>
    </row>
    <row r="216" spans="1:2">
      <c r="A216" t="str">
        <f>Prices!A222</f>
        <v>20576-V4</v>
      </c>
      <c r="B216" s="470">
        <f>IF('Flow Indicator Parts List'!$D$2="CDN$",_xlfn.XLOOKUP(A216,Prices!A:A,Prices!D:D),IF('Flow Indicator Parts List'!$D$2="US$",_xlfn.XLOOKUP(CurrencyModifier!A216,Prices!A:A,Prices!E:E,"MISSING")))</f>
        <v>2.12</v>
      </c>
    </row>
    <row r="217" spans="1:2">
      <c r="A217" t="str">
        <f>Prices!A223</f>
        <v>20580-00</v>
      </c>
      <c r="B217" s="470">
        <f>IF('Flow Indicator Parts List'!$D$2="CDN$",_xlfn.XLOOKUP(A217,Prices!A:A,Prices!D:D),IF('Flow Indicator Parts List'!$D$2="US$",_xlfn.XLOOKUP(CurrencyModifier!A217,Prices!A:A,Prices!E:E,"MISSING")))</f>
        <v>51.616</v>
      </c>
    </row>
    <row r="218" spans="1:2">
      <c r="A218" t="str">
        <f>Prices!A224</f>
        <v>20580-01</v>
      </c>
      <c r="B218" s="470">
        <f>IF('Flow Indicator Parts List'!$D$2="CDN$",_xlfn.XLOOKUP(A218,Prices!A:A,Prices!D:D),IF('Flow Indicator Parts List'!$D$2="US$",_xlfn.XLOOKUP(CurrencyModifier!A218,Prices!A:A,Prices!E:E,"MISSING")))</f>
        <v>11.757</v>
      </c>
    </row>
    <row r="219" spans="1:2">
      <c r="A219" t="str">
        <f>Prices!A225</f>
        <v>20580-02</v>
      </c>
      <c r="B219" s="470">
        <f>IF('Flow Indicator Parts List'!$D$2="CDN$",_xlfn.XLOOKUP(A219,Prices!A:A,Prices!D:D),IF('Flow Indicator Parts List'!$D$2="US$",_xlfn.XLOOKUP(CurrencyModifier!A219,Prices!A:A,Prices!E:E,"MISSING")))</f>
        <v>5.1619999999999999</v>
      </c>
    </row>
    <row r="220" spans="1:2">
      <c r="A220" t="str">
        <f>Prices!A226</f>
        <v>20580-03</v>
      </c>
      <c r="B220" s="470">
        <f>IF('Flow Indicator Parts List'!$D$2="CDN$",_xlfn.XLOOKUP(A220,Prices!A:A,Prices!D:D),IF('Flow Indicator Parts List'!$D$2="US$",_xlfn.XLOOKUP(CurrencyModifier!A220,Prices!A:A,Prices!E:E,"MISSING")))</f>
        <v>3.0350000000000001</v>
      </c>
    </row>
    <row r="221" spans="1:2">
      <c r="A221" t="str">
        <f>Prices!A227</f>
        <v>20580-05</v>
      </c>
      <c r="B221" s="470">
        <f>IF('Flow Indicator Parts List'!$D$2="CDN$",_xlfn.XLOOKUP(A221,Prices!A:A,Prices!D:D),IF('Flow Indicator Parts List'!$D$2="US$",_xlfn.XLOOKUP(CurrencyModifier!A221,Prices!A:A,Prices!E:E,"MISSING")))</f>
        <v>1.732</v>
      </c>
    </row>
    <row r="222" spans="1:2">
      <c r="A222" t="str">
        <f>Prices!A228</f>
        <v>20580-06</v>
      </c>
      <c r="B222" s="470">
        <f>IF('Flow Indicator Parts List'!$D$2="CDN$",_xlfn.XLOOKUP(A222,Prices!A:A,Prices!D:D),IF('Flow Indicator Parts List'!$D$2="US$",_xlfn.XLOOKUP(CurrencyModifier!A222,Prices!A:A,Prices!E:E,"MISSING")))</f>
        <v>48.661999999999999</v>
      </c>
    </row>
    <row r="223" spans="1:2">
      <c r="A223" t="str">
        <f>Prices!A229</f>
        <v>20580-08</v>
      </c>
      <c r="B223" s="470">
        <f>IF('Flow Indicator Parts List'!$D$2="CDN$",_xlfn.XLOOKUP(A223,Prices!A:A,Prices!D:D),IF('Flow Indicator Parts List'!$D$2="US$",_xlfn.XLOOKUP(CurrencyModifier!A223,Prices!A:A,Prices!E:E,"MISSING")))</f>
        <v>2.3450000000000002</v>
      </c>
    </row>
    <row r="224" spans="1:2">
      <c r="A224" t="str">
        <f>Prices!A230</f>
        <v>20580-09</v>
      </c>
      <c r="B224" s="470">
        <f>IF('Flow Indicator Parts List'!$D$2="CDN$",_xlfn.XLOOKUP(A224,Prices!A:A,Prices!D:D),IF('Flow Indicator Parts List'!$D$2="US$",_xlfn.XLOOKUP(CurrencyModifier!A224,Prices!A:A,Prices!E:E,"MISSING")))</f>
        <v>1.6339999999999999</v>
      </c>
    </row>
    <row r="225" spans="1:2">
      <c r="A225" t="str">
        <f>Prices!A231</f>
        <v>20580-10</v>
      </c>
      <c r="B225" s="470">
        <f>IF('Flow Indicator Parts List'!$D$2="CDN$",_xlfn.XLOOKUP(A225,Prices!A:A,Prices!D:D),IF('Flow Indicator Parts List'!$D$2="US$",_xlfn.XLOOKUP(CurrencyModifier!A225,Prices!A:A,Prices!E:E,"MISSING")))</f>
        <v>0.71</v>
      </c>
    </row>
    <row r="226" spans="1:2">
      <c r="A226" t="str">
        <f>Prices!A232</f>
        <v>20580-11</v>
      </c>
      <c r="B226" s="470">
        <f>IF('Flow Indicator Parts List'!$D$2="CDN$",_xlfn.XLOOKUP(A226,Prices!A:A,Prices!D:D),IF('Flow Indicator Parts List'!$D$2="US$",_xlfn.XLOOKUP(CurrencyModifier!A226,Prices!A:A,Prices!E:E,"MISSING")))</f>
        <v>0.76600000000000001</v>
      </c>
    </row>
    <row r="227" spans="1:2">
      <c r="A227" t="str">
        <f>Prices!A233</f>
        <v>20580-12</v>
      </c>
      <c r="B227" s="470">
        <f>IF('Flow Indicator Parts List'!$D$2="CDN$",_xlfn.XLOOKUP(A227,Prices!A:A,Prices!D:D),IF('Flow Indicator Parts List'!$D$2="US$",_xlfn.XLOOKUP(CurrencyModifier!A227,Prices!A:A,Prices!E:E,"MISSING")))</f>
        <v>0.498</v>
      </c>
    </row>
    <row r="228" spans="1:2">
      <c r="A228" t="str">
        <f>Prices!A234</f>
        <v>20580-13</v>
      </c>
      <c r="B228" s="470">
        <f>IF('Flow Indicator Parts List'!$D$2="CDN$",_xlfn.XLOOKUP(A228,Prices!A:A,Prices!D:D),IF('Flow Indicator Parts List'!$D$2="US$",_xlfn.XLOOKUP(CurrencyModifier!A228,Prices!A:A,Prices!E:E,"MISSING")))</f>
        <v>0.66500000000000004</v>
      </c>
    </row>
    <row r="229" spans="1:2">
      <c r="A229" t="str">
        <f>Prices!A235</f>
        <v>20581-01</v>
      </c>
      <c r="B229" s="470">
        <f>IF('Flow Indicator Parts List'!$D$2="CDN$",_xlfn.XLOOKUP(A229,Prices!A:A,Prices!D:D),IF('Flow Indicator Parts List'!$D$2="US$",_xlfn.XLOOKUP(CurrencyModifier!A229,Prices!A:A,Prices!E:E,"MISSING")))</f>
        <v>2.214</v>
      </c>
    </row>
    <row r="230" spans="1:2">
      <c r="A230" t="str">
        <f>Prices!A236</f>
        <v>20581-01M</v>
      </c>
      <c r="B230" s="470">
        <f>IF('Flow Indicator Parts List'!$D$2="CDN$",_xlfn.XLOOKUP(A230,Prices!A:A,Prices!D:D),IF('Flow Indicator Parts List'!$D$2="US$",_xlfn.XLOOKUP(CurrencyModifier!A230,Prices!A:A,Prices!E:E,"MISSING")))</f>
        <v>2.214</v>
      </c>
    </row>
    <row r="231" spans="1:2">
      <c r="A231" t="str">
        <f>Prices!A237</f>
        <v>20581-03</v>
      </c>
      <c r="B231" s="470">
        <f>IF('Flow Indicator Parts List'!$D$2="CDN$",_xlfn.XLOOKUP(A231,Prices!A:A,Prices!D:D),IF('Flow Indicator Parts List'!$D$2="US$",_xlfn.XLOOKUP(CurrencyModifier!A231,Prices!A:A,Prices!E:E,"MISSING")))</f>
        <v>2.214</v>
      </c>
    </row>
    <row r="232" spans="1:2">
      <c r="A232" t="str">
        <f>Prices!A238</f>
        <v>20581-03M</v>
      </c>
      <c r="B232" s="470">
        <f>IF('Flow Indicator Parts List'!$D$2="CDN$",_xlfn.XLOOKUP(A232,Prices!A:A,Prices!D:D),IF('Flow Indicator Parts List'!$D$2="US$",_xlfn.XLOOKUP(CurrencyModifier!A232,Prices!A:A,Prices!E:E,"MISSING")))</f>
        <v>2.214</v>
      </c>
    </row>
    <row r="233" spans="1:2">
      <c r="A233" t="str">
        <f>Prices!A239</f>
        <v>20581-05</v>
      </c>
      <c r="B233" s="470">
        <f>IF('Flow Indicator Parts List'!$D$2="CDN$",_xlfn.XLOOKUP(A233,Prices!A:A,Prices!D:D),IF('Flow Indicator Parts List'!$D$2="US$",_xlfn.XLOOKUP(CurrencyModifier!A233,Prices!A:A,Prices!E:E,"MISSING")))</f>
        <v>2.214</v>
      </c>
    </row>
    <row r="234" spans="1:2">
      <c r="A234" t="str">
        <f>Prices!A240</f>
        <v>20581-05M</v>
      </c>
      <c r="B234" s="470">
        <f>IF('Flow Indicator Parts List'!$D$2="CDN$",_xlfn.XLOOKUP(A234,Prices!A:A,Prices!D:D),IF('Flow Indicator Parts List'!$D$2="US$",_xlfn.XLOOKUP(CurrencyModifier!A234,Prices!A:A,Prices!E:E,"MISSING")))</f>
        <v>2.214</v>
      </c>
    </row>
    <row r="235" spans="1:2">
      <c r="A235" t="str">
        <f>Prices!A241</f>
        <v>20581-07</v>
      </c>
      <c r="B235" s="470">
        <f>IF('Flow Indicator Parts List'!$D$2="CDN$",_xlfn.XLOOKUP(A235,Prices!A:A,Prices!D:D),IF('Flow Indicator Parts List'!$D$2="US$",_xlfn.XLOOKUP(CurrencyModifier!A235,Prices!A:A,Prices!E:E,"MISSING")))</f>
        <v>2.214</v>
      </c>
    </row>
    <row r="236" spans="1:2">
      <c r="A236" t="str">
        <f>Prices!A242</f>
        <v>20581-07M</v>
      </c>
      <c r="B236" s="470">
        <f>IF('Flow Indicator Parts List'!$D$2="CDN$",_xlfn.XLOOKUP(A236,Prices!A:A,Prices!D:D),IF('Flow Indicator Parts List'!$D$2="US$",_xlfn.XLOOKUP(CurrencyModifier!A236,Prices!A:A,Prices!E:E,"MISSING")))</f>
        <v>2.214</v>
      </c>
    </row>
    <row r="237" spans="1:2">
      <c r="A237" t="str">
        <f>Prices!A243</f>
        <v>20583-00</v>
      </c>
      <c r="B237" s="470">
        <f>IF('Flow Indicator Parts List'!$D$2="CDN$",_xlfn.XLOOKUP(A237,Prices!A:A,Prices!D:D),IF('Flow Indicator Parts List'!$D$2="US$",_xlfn.XLOOKUP(CurrencyModifier!A237,Prices!A:A,Prices!E:E,"MISSING")))</f>
        <v>24.047999999999998</v>
      </c>
    </row>
    <row r="238" spans="1:2">
      <c r="A238" t="str">
        <f>Prices!A244</f>
        <v>20584-00</v>
      </c>
      <c r="B238" s="470">
        <f>IF('Flow Indicator Parts List'!$D$2="CDN$",_xlfn.XLOOKUP(A238,Prices!A:A,Prices!D:D),IF('Flow Indicator Parts List'!$D$2="US$",_xlfn.XLOOKUP(CurrencyModifier!A238,Prices!A:A,Prices!E:E,"MISSING")))</f>
        <v>32.063000000000002</v>
      </c>
    </row>
    <row r="239" spans="1:2">
      <c r="A239" t="str">
        <f>Prices!A245</f>
        <v>20584-10</v>
      </c>
      <c r="B239" s="470">
        <f>IF('Flow Indicator Parts List'!$D$2="CDN$",_xlfn.XLOOKUP(A239,Prices!A:A,Prices!D:D),IF('Flow Indicator Parts List'!$D$2="US$",_xlfn.XLOOKUP(CurrencyModifier!A239,Prices!A:A,Prices!E:E,"MISSING")))</f>
        <v>82.542000000000002</v>
      </c>
    </row>
    <row r="240" spans="1:2">
      <c r="A240" t="str">
        <f>Prices!A246</f>
        <v>20585-00</v>
      </c>
      <c r="B240" s="470">
        <f>IF('Flow Indicator Parts List'!$D$2="CDN$",_xlfn.XLOOKUP(A240,Prices!A:A,Prices!D:D),IF('Flow Indicator Parts List'!$D$2="US$",_xlfn.XLOOKUP(CurrencyModifier!A240,Prices!A:A,Prices!E:E,"MISSING")))</f>
        <v>49.414000000000001</v>
      </c>
    </row>
    <row r="241" spans="1:2">
      <c r="A241" t="str">
        <f>Prices!A247</f>
        <v>20585-01</v>
      </c>
      <c r="B241" s="470">
        <f>IF('Flow Indicator Parts List'!$D$2="CDN$",_xlfn.XLOOKUP(A241,Prices!A:A,Prices!D:D),IF('Flow Indicator Parts List'!$D$2="US$",_xlfn.XLOOKUP(CurrencyModifier!A241,Prices!A:A,Prices!E:E,"MISSING")))</f>
        <v>0.96899999999999997</v>
      </c>
    </row>
    <row r="242" spans="1:2">
      <c r="A242" t="str">
        <f>Prices!A248</f>
        <v>20585-04</v>
      </c>
      <c r="B242" s="470">
        <f>IF('Flow Indicator Parts List'!$D$2="CDN$",_xlfn.XLOOKUP(A242,Prices!A:A,Prices!D:D),IF('Flow Indicator Parts List'!$D$2="US$",_xlfn.XLOOKUP(CurrencyModifier!A242,Prices!A:A,Prices!E:E,"MISSING")))</f>
        <v>49.414000000000001</v>
      </c>
    </row>
    <row r="243" spans="1:2">
      <c r="A243" t="str">
        <f>Prices!A249</f>
        <v>20600-00</v>
      </c>
      <c r="B243" s="470" t="str">
        <f>IF('Flow Indicator Parts List'!$D$2="CDN$",_xlfn.XLOOKUP(A243,Prices!A:A,Prices!D:D),IF('Flow Indicator Parts List'!$D$2="US$",_xlfn.XLOOKUP(CurrencyModifier!A243,Prices!A:A,Prices!E:E,"MISSING")))</f>
        <v>CONTACT WILGER</v>
      </c>
    </row>
    <row r="244" spans="1:2">
      <c r="A244" t="str">
        <f>Prices!A250</f>
        <v>20601-00</v>
      </c>
      <c r="B244" s="470" t="str">
        <f>IF('Flow Indicator Parts List'!$D$2="CDN$",_xlfn.XLOOKUP(A244,Prices!A:A,Prices!D:D),IF('Flow Indicator Parts List'!$D$2="US$",_xlfn.XLOOKUP(CurrencyModifier!A244,Prices!A:A,Prices!E:E,"MISSING")))</f>
        <v>CONTACT WILGER</v>
      </c>
    </row>
    <row r="245" spans="1:2">
      <c r="A245" t="str">
        <f>Prices!A251</f>
        <v>20602-00</v>
      </c>
      <c r="B245" s="470" t="str">
        <f>IF('Flow Indicator Parts List'!$D$2="CDN$",_xlfn.XLOOKUP(A245,Prices!A:A,Prices!D:D),IF('Flow Indicator Parts List'!$D$2="US$",_xlfn.XLOOKUP(CurrencyModifier!A245,Prices!A:A,Prices!E:E,"MISSING")))</f>
        <v>CONTACT WILGER</v>
      </c>
    </row>
    <row r="246" spans="1:2">
      <c r="A246" t="str">
        <f>Prices!A252</f>
        <v>20602-01</v>
      </c>
      <c r="B246" s="470" t="str">
        <f>IF('Flow Indicator Parts List'!$D$2="CDN$",_xlfn.XLOOKUP(A246,Prices!A:A,Prices!D:D),IF('Flow Indicator Parts List'!$D$2="US$",_xlfn.XLOOKUP(CurrencyModifier!A246,Prices!A:A,Prices!E:E,"MISSING")))</f>
        <v>CONTACT WILGER</v>
      </c>
    </row>
    <row r="247" spans="1:2">
      <c r="A247" t="str">
        <f>Prices!A253</f>
        <v>20602-02</v>
      </c>
      <c r="B247" s="470" t="str">
        <f>IF('Flow Indicator Parts List'!$D$2="CDN$",_xlfn.XLOOKUP(A247,Prices!A:A,Prices!D:D),IF('Flow Indicator Parts List'!$D$2="US$",_xlfn.XLOOKUP(CurrencyModifier!A247,Prices!A:A,Prices!E:E,"MISSING")))</f>
        <v>CONTACT WILGER</v>
      </c>
    </row>
    <row r="248" spans="1:2">
      <c r="A248" t="str">
        <f>Prices!A254</f>
        <v>20602-03</v>
      </c>
      <c r="B248" s="470" t="str">
        <f>IF('Flow Indicator Parts List'!$D$2="CDN$",_xlfn.XLOOKUP(A248,Prices!A:A,Prices!D:D),IF('Flow Indicator Parts List'!$D$2="US$",_xlfn.XLOOKUP(CurrencyModifier!A248,Prices!A:A,Prices!E:E,"MISSING")))</f>
        <v>CONTACT WILGER</v>
      </c>
    </row>
    <row r="249" spans="1:2">
      <c r="A249" t="str">
        <f>Prices!A255</f>
        <v>20603-00</v>
      </c>
      <c r="B249" s="470">
        <f>IF('Flow Indicator Parts List'!$D$2="CDN$",_xlfn.XLOOKUP(A249,Prices!A:A,Prices!D:D),IF('Flow Indicator Parts List'!$D$2="US$",_xlfn.XLOOKUP(CurrencyModifier!A249,Prices!A:A,Prices!E:E,"MISSING")))</f>
        <v>2168.3000000000002</v>
      </c>
    </row>
    <row r="250" spans="1:2">
      <c r="A250" t="str">
        <f>Prices!A256</f>
        <v>20603-01</v>
      </c>
      <c r="B250" s="470">
        <f>IF('Flow Indicator Parts List'!$D$2="CDN$",_xlfn.XLOOKUP(A250,Prices!A:A,Prices!D:D),IF('Flow Indicator Parts List'!$D$2="US$",_xlfn.XLOOKUP(CurrencyModifier!A250,Prices!A:A,Prices!E:E,"MISSING")))</f>
        <v>1737.761</v>
      </c>
    </row>
    <row r="251" spans="1:2">
      <c r="A251" t="str">
        <f>Prices!A257</f>
        <v>20603-02</v>
      </c>
      <c r="B251" s="470">
        <f>IF('Flow Indicator Parts List'!$D$2="CDN$",_xlfn.XLOOKUP(A251,Prices!A:A,Prices!D:D),IF('Flow Indicator Parts List'!$D$2="US$",_xlfn.XLOOKUP(CurrencyModifier!A251,Prices!A:A,Prices!E:E,"MISSING")))</f>
        <v>301.44799999999998</v>
      </c>
    </row>
    <row r="252" spans="1:2">
      <c r="A252" t="str">
        <f>Prices!A258</f>
        <v>20603-03</v>
      </c>
      <c r="B252" s="470">
        <f>IF('Flow Indicator Parts List'!$D$2="CDN$",_xlfn.XLOOKUP(A252,Prices!A:A,Prices!D:D),IF('Flow Indicator Parts List'!$D$2="US$",_xlfn.XLOOKUP(CurrencyModifier!A252,Prices!A:A,Prices!E:E,"MISSING")))</f>
        <v>42.557000000000002</v>
      </c>
    </row>
    <row r="253" spans="1:2">
      <c r="A253" t="str">
        <f>Prices!A259</f>
        <v>20603-05</v>
      </c>
      <c r="B253" s="470">
        <f>IF('Flow Indicator Parts List'!$D$2="CDN$",_xlfn.XLOOKUP(A253,Prices!A:A,Prices!D:D),IF('Flow Indicator Parts List'!$D$2="US$",_xlfn.XLOOKUP(CurrencyModifier!A253,Prices!A:A,Prices!E:E,"MISSING")))</f>
        <v>531.96799999999996</v>
      </c>
    </row>
    <row r="254" spans="1:2">
      <c r="A254" t="str">
        <f>Prices!A260</f>
        <v>20603-06</v>
      </c>
      <c r="B254" s="470">
        <f>IF('Flow Indicator Parts List'!$D$2="CDN$",_xlfn.XLOOKUP(A254,Prices!A:A,Prices!D:D),IF('Flow Indicator Parts List'!$D$2="US$",_xlfn.XLOOKUP(CurrencyModifier!A254,Prices!A:A,Prices!E:E,"MISSING")))</f>
        <v>92.846000000000004</v>
      </c>
    </row>
    <row r="255" spans="1:2">
      <c r="A255" t="str">
        <f>Prices!A261</f>
        <v>20604-00</v>
      </c>
      <c r="B255" s="470">
        <f>IF('Flow Indicator Parts List'!$D$2="CDN$",_xlfn.XLOOKUP(A255,Prices!A:A,Prices!D:D),IF('Flow Indicator Parts List'!$D$2="US$",_xlfn.XLOOKUP(CurrencyModifier!A255,Prices!A:A,Prices!E:E,"MISSING")))</f>
        <v>86.533000000000001</v>
      </c>
    </row>
    <row r="256" spans="1:2">
      <c r="A256" t="str">
        <f>Prices!A262</f>
        <v>20605-00</v>
      </c>
      <c r="B256" s="470">
        <f>IF('Flow Indicator Parts List'!$D$2="CDN$",_xlfn.XLOOKUP(A256,Prices!A:A,Prices!D:D),IF('Flow Indicator Parts List'!$D$2="US$",_xlfn.XLOOKUP(CurrencyModifier!A256,Prices!A:A,Prices!E:E,"MISSING")))</f>
        <v>228.39099999999999</v>
      </c>
    </row>
    <row r="257" spans="1:2">
      <c r="A257" t="str">
        <f>Prices!A263</f>
        <v>20605-01</v>
      </c>
      <c r="B257" s="470">
        <f>IF('Flow Indicator Parts List'!$D$2="CDN$",_xlfn.XLOOKUP(A257,Prices!A:A,Prices!D:D),IF('Flow Indicator Parts List'!$D$2="US$",_xlfn.XLOOKUP(CurrencyModifier!A257,Prices!A:A,Prices!E:E,"MISSING")))</f>
        <v>141.858</v>
      </c>
    </row>
    <row r="258" spans="1:2">
      <c r="A258" t="str">
        <f>Prices!A264</f>
        <v>20608-00</v>
      </c>
      <c r="B258" s="470">
        <f>IF('Flow Indicator Parts List'!$D$2="CDN$",_xlfn.XLOOKUP(A258,Prices!A:A,Prices!D:D),IF('Flow Indicator Parts List'!$D$2="US$",_xlfn.XLOOKUP(CurrencyModifier!A258,Prices!A:A,Prices!E:E,"MISSING")))</f>
        <v>716.38300000000004</v>
      </c>
    </row>
    <row r="259" spans="1:2">
      <c r="A259" t="str">
        <f>Prices!A265</f>
        <v>20608-01</v>
      </c>
      <c r="B259" s="470">
        <f>IF('Flow Indicator Parts List'!$D$2="CDN$",_xlfn.XLOOKUP(A259,Prices!A:A,Prices!D:D),IF('Flow Indicator Parts List'!$D$2="US$",_xlfn.XLOOKUP(CurrencyModifier!A259,Prices!A:A,Prices!E:E,"MISSING")))</f>
        <v>418.48099999999999</v>
      </c>
    </row>
    <row r="260" spans="1:2">
      <c r="A260" t="str">
        <f>Prices!A266</f>
        <v>20608-02</v>
      </c>
      <c r="B260" s="470">
        <f>IF('Flow Indicator Parts List'!$D$2="CDN$",_xlfn.XLOOKUP(A260,Prices!A:A,Prices!D:D),IF('Flow Indicator Parts List'!$D$2="US$",_xlfn.XLOOKUP(CurrencyModifier!A260,Prices!A:A,Prices!E:E,"MISSING")))</f>
        <v>297.90199999999999</v>
      </c>
    </row>
    <row r="261" spans="1:2">
      <c r="A261" t="str">
        <f>Prices!A267</f>
        <v>20609-00</v>
      </c>
      <c r="B261" s="470">
        <f>IF('Flow Indicator Parts List'!$D$2="CDN$",_xlfn.XLOOKUP(A261,Prices!A:A,Prices!D:D),IF('Flow Indicator Parts List'!$D$2="US$",_xlfn.XLOOKUP(CurrencyModifier!A261,Prices!A:A,Prices!E:E,"MISSING")))</f>
        <v>15.215</v>
      </c>
    </row>
    <row r="262" spans="1:2">
      <c r="A262" t="str">
        <f>Prices!A268</f>
        <v>20611-00</v>
      </c>
      <c r="B262" s="470">
        <f>IF('Flow Indicator Parts List'!$D$2="CDN$",_xlfn.XLOOKUP(A262,Prices!A:A,Prices!D:D),IF('Flow Indicator Parts List'!$D$2="US$",_xlfn.XLOOKUP(CurrencyModifier!A262,Prices!A:A,Prices!E:E,"MISSING")))</f>
        <v>1053.296</v>
      </c>
    </row>
    <row r="263" spans="1:2">
      <c r="A263" t="str">
        <f>Prices!A269</f>
        <v>20611-01</v>
      </c>
      <c r="B263" s="470">
        <f>IF('Flow Indicator Parts List'!$D$2="CDN$",_xlfn.XLOOKUP(A263,Prices!A:A,Prices!D:D),IF('Flow Indicator Parts List'!$D$2="US$",_xlfn.XLOOKUP(CurrencyModifier!A263,Prices!A:A,Prices!E:E,"MISSING")))</f>
        <v>638.36099999999999</v>
      </c>
    </row>
    <row r="264" spans="1:2">
      <c r="A264" t="str">
        <f>Prices!A270</f>
        <v>20611-02</v>
      </c>
      <c r="B264" s="470">
        <f>IF('Flow Indicator Parts List'!$D$2="CDN$",_xlfn.XLOOKUP(A264,Prices!A:A,Prices!D:D),IF('Flow Indicator Parts List'!$D$2="US$",_xlfn.XLOOKUP(CurrencyModifier!A264,Prices!A:A,Prices!E:E,"MISSING")))</f>
        <v>414.935</v>
      </c>
    </row>
    <row r="265" spans="1:2">
      <c r="A265" t="str">
        <f>Prices!A271</f>
        <v>20612-00</v>
      </c>
      <c r="B265" s="470">
        <f>IF('Flow Indicator Parts List'!$D$2="CDN$",_xlfn.XLOOKUP(A265,Prices!A:A,Prices!D:D),IF('Flow Indicator Parts List'!$D$2="US$",_xlfn.XLOOKUP(CurrencyModifier!A265,Prices!A:A,Prices!E:E,"MISSING")))</f>
        <v>21.914999999999999</v>
      </c>
    </row>
    <row r="266" spans="1:2">
      <c r="A266" t="str">
        <f>Prices!A272</f>
        <v>20615-06</v>
      </c>
      <c r="B266" s="470">
        <f>IF('Flow Indicator Parts List'!$D$2="CDN$",_xlfn.XLOOKUP(A266,Prices!A:A,Prices!D:D),IF('Flow Indicator Parts List'!$D$2="US$",_xlfn.XLOOKUP(CurrencyModifier!A266,Prices!A:A,Prices!E:E,"MISSING")))</f>
        <v>94.572000000000003</v>
      </c>
    </row>
    <row r="267" spans="1:2">
      <c r="A267" t="str">
        <f>Prices!A273</f>
        <v>20615-12</v>
      </c>
      <c r="B267" s="470">
        <f>IF('Flow Indicator Parts List'!$D$2="CDN$",_xlfn.XLOOKUP(A267,Prices!A:A,Prices!D:D),IF('Flow Indicator Parts List'!$D$2="US$",_xlfn.XLOOKUP(CurrencyModifier!A267,Prices!A:A,Prices!E:E,"MISSING")))</f>
        <v>160.77199999999999</v>
      </c>
    </row>
    <row r="268" spans="1:2">
      <c r="A268" t="str">
        <f>Prices!A274</f>
        <v>20615-24</v>
      </c>
      <c r="B268" s="470">
        <f>IF('Flow Indicator Parts List'!$D$2="CDN$",_xlfn.XLOOKUP(A268,Prices!A:A,Prices!D:D),IF('Flow Indicator Parts List'!$D$2="US$",_xlfn.XLOOKUP(CurrencyModifier!A268,Prices!A:A,Prices!E:E,"MISSING")))</f>
        <v>241.15899999999999</v>
      </c>
    </row>
    <row r="269" spans="1:2">
      <c r="A269" t="str">
        <f>Prices!A275</f>
        <v>20616-12</v>
      </c>
      <c r="B269" s="470">
        <f>IF('Flow Indicator Parts List'!$D$2="CDN$",_xlfn.XLOOKUP(A269,Prices!A:A,Prices!D:D),IF('Flow Indicator Parts List'!$D$2="US$",_xlfn.XLOOKUP(CurrencyModifier!A269,Prices!A:A,Prices!E:E,"MISSING")))</f>
        <v>111.122</v>
      </c>
    </row>
    <row r="270" spans="1:2">
      <c r="A270" t="str">
        <f>Prices!A276</f>
        <v>20616-24</v>
      </c>
      <c r="B270" s="470">
        <f>IF('Flow Indicator Parts List'!$D$2="CDN$",_xlfn.XLOOKUP(A270,Prices!A:A,Prices!D:D),IF('Flow Indicator Parts List'!$D$2="US$",_xlfn.XLOOKUP(CurrencyModifier!A270,Prices!A:A,Prices!E:E,"MISSING")))</f>
        <v>188.90799999999999</v>
      </c>
    </row>
    <row r="271" spans="1:2">
      <c r="A271" t="str">
        <f>Prices!A277</f>
        <v>20620-00</v>
      </c>
      <c r="B271" s="470">
        <f>IF('Flow Indicator Parts List'!$D$2="CDN$",_xlfn.XLOOKUP(A271,Prices!A:A,Prices!D:D),IF('Flow Indicator Parts List'!$D$2="US$",_xlfn.XLOOKUP(CurrencyModifier!A271,Prices!A:A,Prices!E:E,"MISSING")))</f>
        <v>844.63800000000003</v>
      </c>
    </row>
    <row r="272" spans="1:2">
      <c r="A272" t="str">
        <f>Prices!A278</f>
        <v>20621-00</v>
      </c>
      <c r="B272" s="470">
        <f>IF('Flow Indicator Parts List'!$D$2="CDN$",_xlfn.XLOOKUP(A272,Prices!A:A,Prices!D:D),IF('Flow Indicator Parts List'!$D$2="US$",_xlfn.XLOOKUP(CurrencyModifier!A272,Prices!A:A,Prices!E:E,"MISSING")))</f>
        <v>1250.951</v>
      </c>
    </row>
    <row r="273" spans="1:2">
      <c r="A273" t="str">
        <f>Prices!A279</f>
        <v>20625-00</v>
      </c>
      <c r="B273" s="470">
        <f>IF('Flow Indicator Parts List'!$D$2="CDN$",_xlfn.XLOOKUP(A273,Prices!A:A,Prices!D:D),IF('Flow Indicator Parts List'!$D$2="US$",_xlfn.XLOOKUP(CurrencyModifier!A273,Prices!A:A,Prices!E:E,"MISSING")))</f>
        <v>3221.5949999999998</v>
      </c>
    </row>
    <row r="274" spans="1:2">
      <c r="A274" t="str">
        <f>Prices!A280</f>
        <v>20625-01</v>
      </c>
      <c r="B274" s="470">
        <f>IF('Flow Indicator Parts List'!$D$2="CDN$",_xlfn.XLOOKUP(A274,Prices!A:A,Prices!D:D),IF('Flow Indicator Parts List'!$D$2="US$",_xlfn.XLOOKUP(CurrencyModifier!A274,Prices!A:A,Prices!E:E,"MISSING")))</f>
        <v>2113.4380000000001</v>
      </c>
    </row>
    <row r="275" spans="1:2">
      <c r="A275" t="str">
        <f>Prices!A281</f>
        <v>20625-02</v>
      </c>
      <c r="B275" s="470">
        <f>IF('Flow Indicator Parts List'!$D$2="CDN$",_xlfn.XLOOKUP(A275,Prices!A:A,Prices!D:D),IF('Flow Indicator Parts List'!$D$2="US$",_xlfn.XLOOKUP(CurrencyModifier!A275,Prices!A:A,Prices!E:E,"MISSING")))</f>
        <v>532.79999999999995</v>
      </c>
    </row>
    <row r="276" spans="1:2">
      <c r="A276" t="str">
        <f>Prices!A282</f>
        <v>20625-03</v>
      </c>
      <c r="B276" s="470">
        <f>IF('Flow Indicator Parts List'!$D$2="CDN$",_xlfn.XLOOKUP(A276,Prices!A:A,Prices!D:D),IF('Flow Indicator Parts List'!$D$2="US$",_xlfn.XLOOKUP(CurrencyModifier!A276,Prices!A:A,Prices!E:E,"MISSING")))</f>
        <v>532.79999999999995</v>
      </c>
    </row>
    <row r="277" spans="1:2">
      <c r="A277" t="str">
        <f>Prices!A283</f>
        <v>20626-00</v>
      </c>
      <c r="B277" s="470" t="e">
        <f>IF('Flow Indicator Parts List'!$D$2="CDN$",_xlfn.XLOOKUP(A277,Prices!A:A,Prices!D:D),IF('Flow Indicator Parts List'!$D$2="US$",_xlfn.XLOOKUP(CurrencyModifier!A277,Prices!A:A,Prices!E:E,"MISSING")))</f>
        <v>#VALUE!</v>
      </c>
    </row>
    <row r="278" spans="1:2">
      <c r="A278" t="str">
        <f>Prices!A284</f>
        <v>20631-00</v>
      </c>
      <c r="B278" s="470">
        <f>IF('Flow Indicator Parts List'!$D$2="CDN$",_xlfn.XLOOKUP(A278,Prices!A:A,Prices!D:D),IF('Flow Indicator Parts List'!$D$2="US$",_xlfn.XLOOKUP(CurrencyModifier!A278,Prices!A:A,Prices!E:E,"MISSING")))</f>
        <v>74.218999999999994</v>
      </c>
    </row>
    <row r="279" spans="1:2">
      <c r="A279" t="str">
        <f>Prices!A285</f>
        <v>20631-P4</v>
      </c>
      <c r="B279" s="470">
        <f>IF('Flow Indicator Parts List'!$D$2="CDN$",_xlfn.XLOOKUP(A279,Prices!A:A,Prices!D:D),IF('Flow Indicator Parts List'!$D$2="US$",_xlfn.XLOOKUP(CurrencyModifier!A279,Prices!A:A,Prices!E:E,"MISSING")))</f>
        <v>74.218999999999994</v>
      </c>
    </row>
    <row r="280" spans="1:2">
      <c r="A280" t="str">
        <f>Prices!A286</f>
        <v>20632-00</v>
      </c>
      <c r="B280" s="470">
        <f>IF('Flow Indicator Parts List'!$D$2="CDN$",_xlfn.XLOOKUP(A280,Prices!A:A,Prices!D:D),IF('Flow Indicator Parts List'!$D$2="US$",_xlfn.XLOOKUP(CurrencyModifier!A280,Prices!A:A,Prices!E:E,"MISSING")))</f>
        <v>139.678</v>
      </c>
    </row>
    <row r="281" spans="1:2">
      <c r="A281" t="str">
        <f>Prices!A287</f>
        <v>20632-P4</v>
      </c>
      <c r="B281" s="470">
        <f>IF('Flow Indicator Parts List'!$D$2="CDN$",_xlfn.XLOOKUP(A281,Prices!A:A,Prices!D:D),IF('Flow Indicator Parts List'!$D$2="US$",_xlfn.XLOOKUP(CurrencyModifier!A281,Prices!A:A,Prices!E:E,"MISSING")))</f>
        <v>139.678</v>
      </c>
    </row>
    <row r="282" spans="1:2">
      <c r="A282" t="str">
        <f>Prices!A288</f>
        <v>20633-00</v>
      </c>
      <c r="B282" s="470">
        <f>IF('Flow Indicator Parts List'!$D$2="CDN$",_xlfn.XLOOKUP(A282,Prices!A:A,Prices!D:D),IF('Flow Indicator Parts List'!$D$2="US$",_xlfn.XLOOKUP(CurrencyModifier!A282,Prices!A:A,Prices!E:E,"MISSING")))</f>
        <v>205.149</v>
      </c>
    </row>
    <row r="283" spans="1:2">
      <c r="A283" t="str">
        <f>Prices!A289</f>
        <v>20633-P4</v>
      </c>
      <c r="B283" s="470">
        <f>IF('Flow Indicator Parts List'!$D$2="CDN$",_xlfn.XLOOKUP(A283,Prices!A:A,Prices!D:D),IF('Flow Indicator Parts List'!$D$2="US$",_xlfn.XLOOKUP(CurrencyModifier!A283,Prices!A:A,Prices!E:E,"MISSING")))</f>
        <v>205.149</v>
      </c>
    </row>
    <row r="284" spans="1:2">
      <c r="A284" t="str">
        <f>Prices!A290</f>
        <v>20634-00</v>
      </c>
      <c r="B284" s="470">
        <f>IF('Flow Indicator Parts List'!$D$2="CDN$",_xlfn.XLOOKUP(A284,Prices!A:A,Prices!D:D),IF('Flow Indicator Parts List'!$D$2="US$",_xlfn.XLOOKUP(CurrencyModifier!A284,Prices!A:A,Prices!E:E,"MISSING")))</f>
        <v>270.99900000000002</v>
      </c>
    </row>
    <row r="285" spans="1:2">
      <c r="A285" t="str">
        <f>Prices!A291</f>
        <v>20634-P4</v>
      </c>
      <c r="B285" s="470">
        <f>IF('Flow Indicator Parts List'!$D$2="CDN$",_xlfn.XLOOKUP(A285,Prices!A:A,Prices!D:D),IF('Flow Indicator Parts List'!$D$2="US$",_xlfn.XLOOKUP(CurrencyModifier!A285,Prices!A:A,Prices!E:E,"MISSING")))</f>
        <v>270.99900000000002</v>
      </c>
    </row>
    <row r="286" spans="1:2">
      <c r="A286" t="str">
        <f>Prices!A292</f>
        <v>20641-00</v>
      </c>
      <c r="B286" s="470">
        <f>IF('Flow Indicator Parts List'!$D$2="CDN$",_xlfn.XLOOKUP(A286,Prices!A:A,Prices!D:D),IF('Flow Indicator Parts List'!$D$2="US$",_xlfn.XLOOKUP(CurrencyModifier!A286,Prices!A:A,Prices!E:E,"MISSING")))</f>
        <v>74.218999999999994</v>
      </c>
    </row>
    <row r="287" spans="1:2">
      <c r="A287" t="str">
        <f>Prices!A293</f>
        <v>20641-P4</v>
      </c>
      <c r="B287" s="470">
        <f>IF('Flow Indicator Parts List'!$D$2="CDN$",_xlfn.XLOOKUP(A287,Prices!A:A,Prices!D:D),IF('Flow Indicator Parts List'!$D$2="US$",_xlfn.XLOOKUP(CurrencyModifier!A287,Prices!A:A,Prices!E:E,"MISSING")))</f>
        <v>74.218999999999994</v>
      </c>
    </row>
    <row r="288" spans="1:2">
      <c r="A288" t="str">
        <f>Prices!A294</f>
        <v>20642-00</v>
      </c>
      <c r="B288" s="470">
        <f>IF('Flow Indicator Parts List'!$D$2="CDN$",_xlfn.XLOOKUP(A288,Prices!A:A,Prices!D:D),IF('Flow Indicator Parts List'!$D$2="US$",_xlfn.XLOOKUP(CurrencyModifier!A288,Prices!A:A,Prices!E:E,"MISSING")))</f>
        <v>139.678</v>
      </c>
    </row>
    <row r="289" spans="1:2">
      <c r="A289" t="str">
        <f>Prices!A295</f>
        <v>20642-P4</v>
      </c>
      <c r="B289" s="470">
        <f>IF('Flow Indicator Parts List'!$D$2="CDN$",_xlfn.XLOOKUP(A289,Prices!A:A,Prices!D:D),IF('Flow Indicator Parts List'!$D$2="US$",_xlfn.XLOOKUP(CurrencyModifier!A289,Prices!A:A,Prices!E:E,"MISSING")))</f>
        <v>139.678</v>
      </c>
    </row>
    <row r="290" spans="1:2">
      <c r="A290" t="str">
        <f>Prices!A296</f>
        <v>20643-00</v>
      </c>
      <c r="B290" s="470">
        <f>IF('Flow Indicator Parts List'!$D$2="CDN$",_xlfn.XLOOKUP(A290,Prices!A:A,Prices!D:D),IF('Flow Indicator Parts List'!$D$2="US$",_xlfn.XLOOKUP(CurrencyModifier!A290,Prices!A:A,Prices!E:E,"MISSING")))</f>
        <v>205.149</v>
      </c>
    </row>
    <row r="291" spans="1:2">
      <c r="A291" t="str">
        <f>Prices!A297</f>
        <v>20643-P4</v>
      </c>
      <c r="B291" s="470">
        <f>IF('Flow Indicator Parts List'!$D$2="CDN$",_xlfn.XLOOKUP(A291,Prices!A:A,Prices!D:D),IF('Flow Indicator Parts List'!$D$2="US$",_xlfn.XLOOKUP(CurrencyModifier!A291,Prices!A:A,Prices!E:E,"MISSING")))</f>
        <v>205.149</v>
      </c>
    </row>
    <row r="292" spans="1:2">
      <c r="A292" t="str">
        <f>Prices!A298</f>
        <v>20644-00</v>
      </c>
      <c r="B292" s="470">
        <f>IF('Flow Indicator Parts List'!$D$2="CDN$",_xlfn.XLOOKUP(A292,Prices!A:A,Prices!D:D),IF('Flow Indicator Parts List'!$D$2="US$",_xlfn.XLOOKUP(CurrencyModifier!A292,Prices!A:A,Prices!E:E,"MISSING")))</f>
        <v>270.99900000000002</v>
      </c>
    </row>
    <row r="293" spans="1:2">
      <c r="A293" t="str">
        <f>Prices!A299</f>
        <v>20644-P4</v>
      </c>
      <c r="B293" s="470">
        <f>IF('Flow Indicator Parts List'!$D$2="CDN$",_xlfn.XLOOKUP(A293,Prices!A:A,Prices!D:D),IF('Flow Indicator Parts List'!$D$2="US$",_xlfn.XLOOKUP(CurrencyModifier!A293,Prices!A:A,Prices!E:E,"MISSING")))</f>
        <v>270.99900000000002</v>
      </c>
    </row>
    <row r="294" spans="1:2">
      <c r="A294" t="str">
        <f>Prices!A300</f>
        <v>21000-00</v>
      </c>
      <c r="B294" s="470">
        <f>IF('Flow Indicator Parts List'!$D$2="CDN$",_xlfn.XLOOKUP(A294,Prices!A:A,Prices!D:D),IF('Flow Indicator Parts List'!$D$2="US$",_xlfn.XLOOKUP(CurrencyModifier!A294,Prices!A:A,Prices!E:E,"MISSING")))</f>
        <v>1.0529999999999999</v>
      </c>
    </row>
    <row r="295" spans="1:2">
      <c r="A295" t="str">
        <f>Prices!A301</f>
        <v>21000-01</v>
      </c>
      <c r="B295" s="470">
        <f>IF('Flow Indicator Parts List'!$D$2="CDN$",_xlfn.XLOOKUP(A295,Prices!A:A,Prices!D:D),IF('Flow Indicator Parts List'!$D$2="US$",_xlfn.XLOOKUP(CurrencyModifier!A295,Prices!A:A,Prices!E:E,"MISSING")))</f>
        <v>0.84199999999999997</v>
      </c>
    </row>
    <row r="296" spans="1:2">
      <c r="A296" t="str">
        <f>Prices!A302</f>
        <v>21000-V0</v>
      </c>
      <c r="B296" s="470">
        <f>IF('Flow Indicator Parts List'!$D$2="CDN$",_xlfn.XLOOKUP(A296,Prices!A:A,Prices!D:D),IF('Flow Indicator Parts List'!$D$2="US$",_xlfn.XLOOKUP(CurrencyModifier!A296,Prices!A:A,Prices!E:E,"MISSING")))</f>
        <v>2.4380000000000002</v>
      </c>
    </row>
    <row r="297" spans="1:2">
      <c r="A297" t="str">
        <f>Prices!A303</f>
        <v>21009-00</v>
      </c>
      <c r="B297" s="470">
        <f>IF('Flow Indicator Parts List'!$D$2="CDN$",_xlfn.XLOOKUP(A297,Prices!A:A,Prices!D:D),IF('Flow Indicator Parts List'!$D$2="US$",_xlfn.XLOOKUP(CurrencyModifier!A297,Prices!A:A,Prices!E:E,"MISSING")))</f>
        <v>6.8319999999999999</v>
      </c>
    </row>
    <row r="298" spans="1:2">
      <c r="A298" t="str">
        <f>Prices!A304</f>
        <v>21009-01</v>
      </c>
      <c r="B298" s="470">
        <f>IF('Flow Indicator Parts List'!$D$2="CDN$",_xlfn.XLOOKUP(A298,Prices!A:A,Prices!D:D),IF('Flow Indicator Parts List'!$D$2="US$",_xlfn.XLOOKUP(CurrencyModifier!A298,Prices!A:A,Prices!E:E,"MISSING")))</f>
        <v>5.4180000000000001</v>
      </c>
    </row>
    <row r="299" spans="1:2">
      <c r="A299" t="str">
        <f>Prices!A305</f>
        <v>21009-V0</v>
      </c>
      <c r="B299" s="470">
        <f>IF('Flow Indicator Parts List'!$D$2="CDN$",_xlfn.XLOOKUP(A299,Prices!A:A,Prices!D:D),IF('Flow Indicator Parts List'!$D$2="US$",_xlfn.XLOOKUP(CurrencyModifier!A299,Prices!A:A,Prices!E:E,"MISSING")))</f>
        <v>8.9740000000000002</v>
      </c>
    </row>
    <row r="300" spans="1:2">
      <c r="A300" t="str">
        <f>Prices!A306</f>
        <v>21011-00</v>
      </c>
      <c r="B300" s="470">
        <f>IF('Flow Indicator Parts List'!$D$2="CDN$",_xlfn.XLOOKUP(A300,Prices!A:A,Prices!D:D),IF('Flow Indicator Parts List'!$D$2="US$",_xlfn.XLOOKUP(CurrencyModifier!A300,Prices!A:A,Prices!E:E,"MISSING")))</f>
        <v>6.8319999999999999</v>
      </c>
    </row>
    <row r="301" spans="1:2">
      <c r="A301" t="str">
        <f>Prices!A307</f>
        <v>21011-01</v>
      </c>
      <c r="B301" s="470">
        <f>IF('Flow Indicator Parts List'!$D$2="CDN$",_xlfn.XLOOKUP(A301,Prices!A:A,Prices!D:D),IF('Flow Indicator Parts List'!$D$2="US$",_xlfn.XLOOKUP(CurrencyModifier!A301,Prices!A:A,Prices!E:E,"MISSING")))</f>
        <v>5.4180000000000001</v>
      </c>
    </row>
    <row r="302" spans="1:2">
      <c r="A302" t="str">
        <f>Prices!A308</f>
        <v>21011-V0</v>
      </c>
      <c r="B302" s="470">
        <f>IF('Flow Indicator Parts List'!$D$2="CDN$",_xlfn.XLOOKUP(A302,Prices!A:A,Prices!D:D),IF('Flow Indicator Parts List'!$D$2="US$",_xlfn.XLOOKUP(CurrencyModifier!A302,Prices!A:A,Prices!E:E,"MISSING")))</f>
        <v>8.9740000000000002</v>
      </c>
    </row>
    <row r="303" spans="1:2">
      <c r="A303" t="str">
        <f>Prices!A309</f>
        <v>21013-00</v>
      </c>
      <c r="B303" s="470">
        <f>IF('Flow Indicator Parts List'!$D$2="CDN$",_xlfn.XLOOKUP(A303,Prices!A:A,Prices!D:D),IF('Flow Indicator Parts List'!$D$2="US$",_xlfn.XLOOKUP(CurrencyModifier!A303,Prices!A:A,Prices!E:E,"MISSING")))</f>
        <v>6.8319999999999999</v>
      </c>
    </row>
    <row r="304" spans="1:2">
      <c r="A304" t="str">
        <f>Prices!A310</f>
        <v>21013-01</v>
      </c>
      <c r="B304" s="470">
        <f>IF('Flow Indicator Parts List'!$D$2="CDN$",_xlfn.XLOOKUP(A304,Prices!A:A,Prices!D:D),IF('Flow Indicator Parts List'!$D$2="US$",_xlfn.XLOOKUP(CurrencyModifier!A304,Prices!A:A,Prices!E:E,"MISSING")))</f>
        <v>5.4180000000000001</v>
      </c>
    </row>
    <row r="305" spans="1:2">
      <c r="A305" t="str">
        <f>Prices!A311</f>
        <v>21013-V0</v>
      </c>
      <c r="B305" s="470">
        <f>IF('Flow Indicator Parts List'!$D$2="CDN$",_xlfn.XLOOKUP(A305,Prices!A:A,Prices!D:D),IF('Flow Indicator Parts List'!$D$2="US$",_xlfn.XLOOKUP(CurrencyModifier!A305,Prices!A:A,Prices!E:E,"MISSING")))</f>
        <v>8.9740000000000002</v>
      </c>
    </row>
    <row r="306" spans="1:2">
      <c r="A306" t="str">
        <f>Prices!A312</f>
        <v>21015-00</v>
      </c>
      <c r="B306" s="470">
        <f>IF('Flow Indicator Parts List'!$D$2="CDN$",_xlfn.XLOOKUP(A306,Prices!A:A,Prices!D:D),IF('Flow Indicator Parts List'!$D$2="US$",_xlfn.XLOOKUP(CurrencyModifier!A306,Prices!A:A,Prices!E:E,"MISSING")))</f>
        <v>6.8319999999999999</v>
      </c>
    </row>
    <row r="307" spans="1:2">
      <c r="A307" t="str">
        <f>Prices!A313</f>
        <v>21015-01</v>
      </c>
      <c r="B307" s="470">
        <f>IF('Flow Indicator Parts List'!$D$2="CDN$",_xlfn.XLOOKUP(A307,Prices!A:A,Prices!D:D),IF('Flow Indicator Parts List'!$D$2="US$",_xlfn.XLOOKUP(CurrencyModifier!A307,Prices!A:A,Prices!E:E,"MISSING")))</f>
        <v>5.4180000000000001</v>
      </c>
    </row>
    <row r="308" spans="1:2">
      <c r="A308" t="str">
        <f>Prices!A314</f>
        <v>21015-V0</v>
      </c>
      <c r="B308" s="470">
        <f>IF('Flow Indicator Parts List'!$D$2="CDN$",_xlfn.XLOOKUP(A308,Prices!A:A,Prices!D:D),IF('Flow Indicator Parts List'!$D$2="US$",_xlfn.XLOOKUP(CurrencyModifier!A308,Prices!A:A,Prices!E:E,"MISSING")))</f>
        <v>8.9740000000000002</v>
      </c>
    </row>
    <row r="309" spans="1:2">
      <c r="A309" t="str">
        <f>Prices!A315</f>
        <v>21020-00</v>
      </c>
      <c r="B309" s="470">
        <f>IF('Flow Indicator Parts List'!$D$2="CDN$",_xlfn.XLOOKUP(A309,Prices!A:A,Prices!D:D),IF('Flow Indicator Parts List'!$D$2="US$",_xlfn.XLOOKUP(CurrencyModifier!A309,Prices!A:A,Prices!E:E,"MISSING")))</f>
        <v>6.8319999999999999</v>
      </c>
    </row>
    <row r="310" spans="1:2">
      <c r="A310" t="str">
        <f>Prices!A316</f>
        <v>21020-01</v>
      </c>
      <c r="B310" s="470">
        <f>IF('Flow Indicator Parts List'!$D$2="CDN$",_xlfn.XLOOKUP(A310,Prices!A:A,Prices!D:D),IF('Flow Indicator Parts List'!$D$2="US$",_xlfn.XLOOKUP(CurrencyModifier!A310,Prices!A:A,Prices!E:E,"MISSING")))</f>
        <v>5.4180000000000001</v>
      </c>
    </row>
    <row r="311" spans="1:2">
      <c r="A311" t="str">
        <f>Prices!A317</f>
        <v>21020-V0</v>
      </c>
      <c r="B311" s="470">
        <f>IF('Flow Indicator Parts List'!$D$2="CDN$",_xlfn.XLOOKUP(A311,Prices!A:A,Prices!D:D),IF('Flow Indicator Parts List'!$D$2="US$",_xlfn.XLOOKUP(CurrencyModifier!A311,Prices!A:A,Prices!E:E,"MISSING")))</f>
        <v>8.9740000000000002</v>
      </c>
    </row>
    <row r="312" spans="1:2">
      <c r="A312" t="str">
        <f>Prices!A318</f>
        <v>21025-00</v>
      </c>
      <c r="B312" s="470">
        <f>IF('Flow Indicator Parts List'!$D$2="CDN$",_xlfn.XLOOKUP(A312,Prices!A:A,Prices!D:D),IF('Flow Indicator Parts List'!$D$2="US$",_xlfn.XLOOKUP(CurrencyModifier!A312,Prices!A:A,Prices!E:E,"MISSING")))</f>
        <v>6.8319999999999999</v>
      </c>
    </row>
    <row r="313" spans="1:2">
      <c r="A313" t="str">
        <f>Prices!A319</f>
        <v>21025-01</v>
      </c>
      <c r="B313" s="470">
        <f>IF('Flow Indicator Parts List'!$D$2="CDN$",_xlfn.XLOOKUP(A313,Prices!A:A,Prices!D:D),IF('Flow Indicator Parts List'!$D$2="US$",_xlfn.XLOOKUP(CurrencyModifier!A313,Prices!A:A,Prices!E:E,"MISSING")))</f>
        <v>5.4180000000000001</v>
      </c>
    </row>
    <row r="314" spans="1:2">
      <c r="A314" t="str">
        <f>Prices!A320</f>
        <v>21025-V0</v>
      </c>
      <c r="B314" s="470">
        <f>IF('Flow Indicator Parts List'!$D$2="CDN$",_xlfn.XLOOKUP(A314,Prices!A:A,Prices!D:D),IF('Flow Indicator Parts List'!$D$2="US$",_xlfn.XLOOKUP(CurrencyModifier!A314,Prices!A:A,Prices!E:E,"MISSING")))</f>
        <v>8.9740000000000002</v>
      </c>
    </row>
    <row r="315" spans="1:2">
      <c r="A315" t="str">
        <f>Prices!A321</f>
        <v>21031-00</v>
      </c>
      <c r="B315" s="470">
        <f>IF('Flow Indicator Parts List'!$D$2="CDN$",_xlfn.XLOOKUP(A315,Prices!A:A,Prices!D:D),IF('Flow Indicator Parts List'!$D$2="US$",_xlfn.XLOOKUP(CurrencyModifier!A315,Prices!A:A,Prices!E:E,"MISSING")))</f>
        <v>6.8319999999999999</v>
      </c>
    </row>
    <row r="316" spans="1:2">
      <c r="A316" t="str">
        <f>Prices!A322</f>
        <v>21031-01</v>
      </c>
      <c r="B316" s="470">
        <f>IF('Flow Indicator Parts List'!$D$2="CDN$",_xlfn.XLOOKUP(A316,Prices!A:A,Prices!D:D),IF('Flow Indicator Parts List'!$D$2="US$",_xlfn.XLOOKUP(CurrencyModifier!A316,Prices!A:A,Prices!E:E,"MISSING")))</f>
        <v>5.4180000000000001</v>
      </c>
    </row>
    <row r="317" spans="1:2">
      <c r="A317" t="str">
        <f>Prices!A323</f>
        <v>21031-V0</v>
      </c>
      <c r="B317" s="470">
        <f>IF('Flow Indicator Parts List'!$D$2="CDN$",_xlfn.XLOOKUP(A317,Prices!A:A,Prices!D:D),IF('Flow Indicator Parts List'!$D$2="US$",_xlfn.XLOOKUP(CurrencyModifier!A317,Prices!A:A,Prices!E:E,"MISSING")))</f>
        <v>8.9740000000000002</v>
      </c>
    </row>
    <row r="318" spans="1:2">
      <c r="A318" t="str">
        <f>Prices!A324</f>
        <v>21035-00</v>
      </c>
      <c r="B318" s="470">
        <f>IF('Flow Indicator Parts List'!$D$2="CDN$",_xlfn.XLOOKUP(A318,Prices!A:A,Prices!D:D),IF('Flow Indicator Parts List'!$D$2="US$",_xlfn.XLOOKUP(CurrencyModifier!A318,Prices!A:A,Prices!E:E,"MISSING")))</f>
        <v>6.8319999999999999</v>
      </c>
    </row>
    <row r="319" spans="1:2">
      <c r="A319" t="str">
        <f>Prices!A325</f>
        <v>21035-01</v>
      </c>
      <c r="B319" s="470">
        <f>IF('Flow Indicator Parts List'!$D$2="CDN$",_xlfn.XLOOKUP(A319,Prices!A:A,Prices!D:D),IF('Flow Indicator Parts List'!$D$2="US$",_xlfn.XLOOKUP(CurrencyModifier!A319,Prices!A:A,Prices!E:E,"MISSING")))</f>
        <v>5.4180000000000001</v>
      </c>
    </row>
    <row r="320" spans="1:2">
      <c r="A320" t="str">
        <f>Prices!A326</f>
        <v>21035-V0</v>
      </c>
      <c r="B320" s="470">
        <f>IF('Flow Indicator Parts List'!$D$2="CDN$",_xlfn.XLOOKUP(A320,Prices!A:A,Prices!D:D),IF('Flow Indicator Parts List'!$D$2="US$",_xlfn.XLOOKUP(CurrencyModifier!A320,Prices!A:A,Prices!E:E,"MISSING")))</f>
        <v>8.9740000000000002</v>
      </c>
    </row>
    <row r="321" spans="1:2">
      <c r="A321" t="str">
        <f>Prices!A327</f>
        <v>21040-00</v>
      </c>
      <c r="B321" s="470">
        <f>IF('Flow Indicator Parts List'!$D$2="CDN$",_xlfn.XLOOKUP(A321,Prices!A:A,Prices!D:D),IF('Flow Indicator Parts List'!$D$2="US$",_xlfn.XLOOKUP(CurrencyModifier!A321,Prices!A:A,Prices!E:E,"MISSING")))</f>
        <v>6.8319999999999999</v>
      </c>
    </row>
    <row r="322" spans="1:2">
      <c r="A322" t="str">
        <f>Prices!A328</f>
        <v>21040-01</v>
      </c>
      <c r="B322" s="470">
        <f>IF('Flow Indicator Parts List'!$D$2="CDN$",_xlfn.XLOOKUP(A322,Prices!A:A,Prices!D:D),IF('Flow Indicator Parts List'!$D$2="US$",_xlfn.XLOOKUP(CurrencyModifier!A322,Prices!A:A,Prices!E:E,"MISSING")))</f>
        <v>5.4180000000000001</v>
      </c>
    </row>
    <row r="323" spans="1:2">
      <c r="A323" t="str">
        <f>Prices!A329</f>
        <v>21040-V0</v>
      </c>
      <c r="B323" s="470">
        <f>IF('Flow Indicator Parts List'!$D$2="CDN$",_xlfn.XLOOKUP(A323,Prices!A:A,Prices!D:D),IF('Flow Indicator Parts List'!$D$2="US$",_xlfn.XLOOKUP(CurrencyModifier!A323,Prices!A:A,Prices!E:E,"MISSING")))</f>
        <v>8.9740000000000002</v>
      </c>
    </row>
    <row r="324" spans="1:2">
      <c r="A324" t="str">
        <f>Prices!A330</f>
        <v>21043-00</v>
      </c>
      <c r="B324" s="470">
        <f>IF('Flow Indicator Parts List'!$D$2="CDN$",_xlfn.XLOOKUP(A324,Prices!A:A,Prices!D:D),IF('Flow Indicator Parts List'!$D$2="US$",_xlfn.XLOOKUP(CurrencyModifier!A324,Prices!A:A,Prices!E:E,"MISSING")))</f>
        <v>6.8319999999999999</v>
      </c>
    </row>
    <row r="325" spans="1:2">
      <c r="A325" t="str">
        <f>Prices!A331</f>
        <v>21043-01</v>
      </c>
      <c r="B325" s="470">
        <f>IF('Flow Indicator Parts List'!$D$2="CDN$",_xlfn.XLOOKUP(A325,Prices!A:A,Prices!D:D),IF('Flow Indicator Parts List'!$D$2="US$",_xlfn.XLOOKUP(CurrencyModifier!A325,Prices!A:A,Prices!E:E,"MISSING")))</f>
        <v>5.4180000000000001</v>
      </c>
    </row>
    <row r="326" spans="1:2">
      <c r="A326" t="str">
        <f>Prices!A332</f>
        <v>21043-V0</v>
      </c>
      <c r="B326" s="470">
        <f>IF('Flow Indicator Parts List'!$D$2="CDN$",_xlfn.XLOOKUP(A326,Prices!A:A,Prices!D:D),IF('Flow Indicator Parts List'!$D$2="US$",_xlfn.XLOOKUP(CurrencyModifier!A326,Prices!A:A,Prices!E:E,"MISSING")))</f>
        <v>8.9740000000000002</v>
      </c>
    </row>
    <row r="327" spans="1:2">
      <c r="A327" t="str">
        <f>Prices!A333</f>
        <v>21046-00</v>
      </c>
      <c r="B327" s="470">
        <f>IF('Flow Indicator Parts List'!$D$2="CDN$",_xlfn.XLOOKUP(A327,Prices!A:A,Prices!D:D),IF('Flow Indicator Parts List'!$D$2="US$",_xlfn.XLOOKUP(CurrencyModifier!A327,Prices!A:A,Prices!E:E,"MISSING")))</f>
        <v>6.8319999999999999</v>
      </c>
    </row>
    <row r="328" spans="1:2">
      <c r="A328" t="str">
        <f>Prices!A334</f>
        <v>21046-01</v>
      </c>
      <c r="B328" s="470">
        <f>IF('Flow Indicator Parts List'!$D$2="CDN$",_xlfn.XLOOKUP(A328,Prices!A:A,Prices!D:D),IF('Flow Indicator Parts List'!$D$2="US$",_xlfn.XLOOKUP(CurrencyModifier!A328,Prices!A:A,Prices!E:E,"MISSING")))</f>
        <v>5.4180000000000001</v>
      </c>
    </row>
    <row r="329" spans="1:2">
      <c r="A329" t="str">
        <f>Prices!A335</f>
        <v>21046-V0</v>
      </c>
      <c r="B329" s="470">
        <f>IF('Flow Indicator Parts List'!$D$2="CDN$",_xlfn.XLOOKUP(A329,Prices!A:A,Prices!D:D),IF('Flow Indicator Parts List'!$D$2="US$",_xlfn.XLOOKUP(CurrencyModifier!A329,Prices!A:A,Prices!E:E,"MISSING")))</f>
        <v>8.9740000000000002</v>
      </c>
    </row>
    <row r="330" spans="1:2">
      <c r="A330" t="str">
        <f>Prices!A336</f>
        <v>21049-00</v>
      </c>
      <c r="B330" s="470">
        <f>IF('Flow Indicator Parts List'!$D$2="CDN$",_xlfn.XLOOKUP(A330,Prices!A:A,Prices!D:D),IF('Flow Indicator Parts List'!$D$2="US$",_xlfn.XLOOKUP(CurrencyModifier!A330,Prices!A:A,Prices!E:E,"MISSING")))</f>
        <v>6.8319999999999999</v>
      </c>
    </row>
    <row r="331" spans="1:2">
      <c r="A331" t="str">
        <f>Prices!A337</f>
        <v>21049-01</v>
      </c>
      <c r="B331" s="470">
        <f>IF('Flow Indicator Parts List'!$D$2="CDN$",_xlfn.XLOOKUP(A331,Prices!A:A,Prices!D:D),IF('Flow Indicator Parts List'!$D$2="US$",_xlfn.XLOOKUP(CurrencyModifier!A331,Prices!A:A,Prices!E:E,"MISSING")))</f>
        <v>5.4180000000000001</v>
      </c>
    </row>
    <row r="332" spans="1:2">
      <c r="A332" t="str">
        <f>Prices!A338</f>
        <v>21049-V0</v>
      </c>
      <c r="B332" s="470">
        <f>IF('Flow Indicator Parts List'!$D$2="CDN$",_xlfn.XLOOKUP(A332,Prices!A:A,Prices!D:D),IF('Flow Indicator Parts List'!$D$2="US$",_xlfn.XLOOKUP(CurrencyModifier!A332,Prices!A:A,Prices!E:E,"MISSING")))</f>
        <v>8.9740000000000002</v>
      </c>
    </row>
    <row r="333" spans="1:2">
      <c r="A333" t="str">
        <f>Prices!A339</f>
        <v>21050-00</v>
      </c>
      <c r="B333" s="470">
        <f>IF('Flow Indicator Parts List'!$D$2="CDN$",_xlfn.XLOOKUP(A333,Prices!A:A,Prices!D:D),IF('Flow Indicator Parts List'!$D$2="US$",_xlfn.XLOOKUP(CurrencyModifier!A333,Prices!A:A,Prices!E:E,"MISSING")))</f>
        <v>6.8319999999999999</v>
      </c>
    </row>
    <row r="334" spans="1:2">
      <c r="A334" t="str">
        <f>Prices!A340</f>
        <v>21050-01</v>
      </c>
      <c r="B334" s="470">
        <f>IF('Flow Indicator Parts List'!$D$2="CDN$",_xlfn.XLOOKUP(A334,Prices!A:A,Prices!D:D),IF('Flow Indicator Parts List'!$D$2="US$",_xlfn.XLOOKUP(CurrencyModifier!A334,Prices!A:A,Prices!E:E,"MISSING")))</f>
        <v>5.4180000000000001</v>
      </c>
    </row>
    <row r="335" spans="1:2">
      <c r="A335" t="str">
        <f>Prices!A341</f>
        <v>21050-V0</v>
      </c>
      <c r="B335" s="470">
        <f>IF('Flow Indicator Parts List'!$D$2="CDN$",_xlfn.XLOOKUP(A335,Prices!A:A,Prices!D:D),IF('Flow Indicator Parts List'!$D$2="US$",_xlfn.XLOOKUP(CurrencyModifier!A335,Prices!A:A,Prices!E:E,"MISSING")))</f>
        <v>8.9740000000000002</v>
      </c>
    </row>
    <row r="336" spans="1:2">
      <c r="A336" t="str">
        <f>Prices!A342</f>
        <v>21055-00</v>
      </c>
      <c r="B336" s="470">
        <f>IF('Flow Indicator Parts List'!$D$2="CDN$",_xlfn.XLOOKUP(A336,Prices!A:A,Prices!D:D),IF('Flow Indicator Parts List'!$D$2="US$",_xlfn.XLOOKUP(CurrencyModifier!A336,Prices!A:A,Prices!E:E,"MISSING")))</f>
        <v>6.8319999999999999</v>
      </c>
    </row>
    <row r="337" spans="1:2">
      <c r="A337" t="str">
        <f>Prices!A343</f>
        <v>21055-01</v>
      </c>
      <c r="B337" s="470">
        <f>IF('Flow Indicator Parts List'!$D$2="CDN$",_xlfn.XLOOKUP(A337,Prices!A:A,Prices!D:D),IF('Flow Indicator Parts List'!$D$2="US$",_xlfn.XLOOKUP(CurrencyModifier!A337,Prices!A:A,Prices!E:E,"MISSING")))</f>
        <v>5.4180000000000001</v>
      </c>
    </row>
    <row r="338" spans="1:2">
      <c r="A338" t="str">
        <f>Prices!A344</f>
        <v>21055-V0</v>
      </c>
      <c r="B338" s="470">
        <f>IF('Flow Indicator Parts List'!$D$2="CDN$",_xlfn.XLOOKUP(A338,Prices!A:A,Prices!D:D),IF('Flow Indicator Parts List'!$D$2="US$",_xlfn.XLOOKUP(CurrencyModifier!A338,Prices!A:A,Prices!E:E,"MISSING")))</f>
        <v>8.9740000000000002</v>
      </c>
    </row>
    <row r="339" spans="1:2">
      <c r="A339" t="str">
        <f>Prices!A345</f>
        <v>21060-00</v>
      </c>
      <c r="B339" s="470">
        <f>IF('Flow Indicator Parts List'!$D$2="CDN$",_xlfn.XLOOKUP(A339,Prices!A:A,Prices!D:D),IF('Flow Indicator Parts List'!$D$2="US$",_xlfn.XLOOKUP(CurrencyModifier!A339,Prices!A:A,Prices!E:E,"MISSING")))</f>
        <v>6.8319999999999999</v>
      </c>
    </row>
    <row r="340" spans="1:2">
      <c r="A340" t="str">
        <f>Prices!A346</f>
        <v>21060-01</v>
      </c>
      <c r="B340" s="470">
        <f>IF('Flow Indicator Parts List'!$D$2="CDN$",_xlfn.XLOOKUP(A340,Prices!A:A,Prices!D:D),IF('Flow Indicator Parts List'!$D$2="US$",_xlfn.XLOOKUP(CurrencyModifier!A340,Prices!A:A,Prices!E:E,"MISSING")))</f>
        <v>5.4180000000000001</v>
      </c>
    </row>
    <row r="341" spans="1:2">
      <c r="A341" t="str">
        <f>Prices!A347</f>
        <v>21060-V0</v>
      </c>
      <c r="B341" s="470">
        <f>IF('Flow Indicator Parts List'!$D$2="CDN$",_xlfn.XLOOKUP(A341,Prices!A:A,Prices!D:D),IF('Flow Indicator Parts List'!$D$2="US$",_xlfn.XLOOKUP(CurrencyModifier!A341,Prices!A:A,Prices!E:E,"MISSING")))</f>
        <v>8.9740000000000002</v>
      </c>
    </row>
    <row r="342" spans="1:2">
      <c r="A342" t="str">
        <f>Prices!A348</f>
        <v>21070-00</v>
      </c>
      <c r="B342" s="470">
        <f>IF('Flow Indicator Parts List'!$D$2="CDN$",_xlfn.XLOOKUP(A342,Prices!A:A,Prices!D:D),IF('Flow Indicator Parts List'!$D$2="US$",_xlfn.XLOOKUP(CurrencyModifier!A342,Prices!A:A,Prices!E:E,"MISSING")))</f>
        <v>6.8319999999999999</v>
      </c>
    </row>
    <row r="343" spans="1:2">
      <c r="A343" t="str">
        <f>Prices!A349</f>
        <v>21070-01</v>
      </c>
      <c r="B343" s="470">
        <f>IF('Flow Indicator Parts List'!$D$2="CDN$",_xlfn.XLOOKUP(A343,Prices!A:A,Prices!D:D),IF('Flow Indicator Parts List'!$D$2="US$",_xlfn.XLOOKUP(CurrencyModifier!A343,Prices!A:A,Prices!E:E,"MISSING")))</f>
        <v>5.4180000000000001</v>
      </c>
    </row>
    <row r="344" spans="1:2">
      <c r="A344" t="str">
        <f>Prices!A350</f>
        <v>21070-V0</v>
      </c>
      <c r="B344" s="470">
        <f>IF('Flow Indicator Parts List'!$D$2="CDN$",_xlfn.XLOOKUP(A344,Prices!A:A,Prices!D:D),IF('Flow Indicator Parts List'!$D$2="US$",_xlfn.XLOOKUP(CurrencyModifier!A344,Prices!A:A,Prices!E:E,"MISSING")))</f>
        <v>8.9740000000000002</v>
      </c>
    </row>
    <row r="345" spans="1:2">
      <c r="A345" t="str">
        <f>Prices!A351</f>
        <v>21073-00</v>
      </c>
      <c r="B345" s="470">
        <f>IF('Flow Indicator Parts List'!$D$2="CDN$",_xlfn.XLOOKUP(A345,Prices!A:A,Prices!D:D),IF('Flow Indicator Parts List'!$D$2="US$",_xlfn.XLOOKUP(CurrencyModifier!A345,Prices!A:A,Prices!E:E,"MISSING")))</f>
        <v>6.8319999999999999</v>
      </c>
    </row>
    <row r="346" spans="1:2">
      <c r="A346" t="str">
        <f>Prices!A352</f>
        <v>21073-01</v>
      </c>
      <c r="B346" s="470">
        <f>IF('Flow Indicator Parts List'!$D$2="CDN$",_xlfn.XLOOKUP(A346,Prices!A:A,Prices!D:D),IF('Flow Indicator Parts List'!$D$2="US$",_xlfn.XLOOKUP(CurrencyModifier!A346,Prices!A:A,Prices!E:E,"MISSING")))</f>
        <v>5.4180000000000001</v>
      </c>
    </row>
    <row r="347" spans="1:2">
      <c r="A347" t="str">
        <f>Prices!A353</f>
        <v>21073-V0</v>
      </c>
      <c r="B347" s="470">
        <f>IF('Flow Indicator Parts List'!$D$2="CDN$",_xlfn.XLOOKUP(A347,Prices!A:A,Prices!D:D),IF('Flow Indicator Parts List'!$D$2="US$",_xlfn.XLOOKUP(CurrencyModifier!A347,Prices!A:A,Prices!E:E,"MISSING")))</f>
        <v>8.9740000000000002</v>
      </c>
    </row>
    <row r="348" spans="1:2">
      <c r="A348" t="str">
        <f>Prices!A354</f>
        <v>21086-00</v>
      </c>
      <c r="B348" s="470">
        <f>IF('Flow Indicator Parts List'!$D$2="CDN$",_xlfn.XLOOKUP(A348,Prices!A:A,Prices!D:D),IF('Flow Indicator Parts List'!$D$2="US$",_xlfn.XLOOKUP(CurrencyModifier!A348,Prices!A:A,Prices!E:E,"MISSING")))</f>
        <v>6.8319999999999999</v>
      </c>
    </row>
    <row r="349" spans="1:2">
      <c r="A349" t="str">
        <f>Prices!A355</f>
        <v>21086-01</v>
      </c>
      <c r="B349" s="470">
        <f>IF('Flow Indicator Parts List'!$D$2="CDN$",_xlfn.XLOOKUP(A349,Prices!A:A,Prices!D:D),IF('Flow Indicator Parts List'!$D$2="US$",_xlfn.XLOOKUP(CurrencyModifier!A349,Prices!A:A,Prices!E:E,"MISSING")))</f>
        <v>5.4180000000000001</v>
      </c>
    </row>
    <row r="350" spans="1:2">
      <c r="A350" t="str">
        <f>Prices!A356</f>
        <v>21086-V0</v>
      </c>
      <c r="B350" s="470">
        <f>IF('Flow Indicator Parts List'!$D$2="CDN$",_xlfn.XLOOKUP(A350,Prices!A:A,Prices!D:D),IF('Flow Indicator Parts List'!$D$2="US$",_xlfn.XLOOKUP(CurrencyModifier!A350,Prices!A:A,Prices!E:E,"MISSING")))</f>
        <v>8.9740000000000002</v>
      </c>
    </row>
    <row r="351" spans="1:2">
      <c r="A351" t="str">
        <f>Prices!A357</f>
        <v>21093-00</v>
      </c>
      <c r="B351" s="470">
        <f>IF('Flow Indicator Parts List'!$D$2="CDN$",_xlfn.XLOOKUP(A351,Prices!A:A,Prices!D:D),IF('Flow Indicator Parts List'!$D$2="US$",_xlfn.XLOOKUP(CurrencyModifier!A351,Prices!A:A,Prices!E:E,"MISSING")))</f>
        <v>6.8319999999999999</v>
      </c>
    </row>
    <row r="352" spans="1:2">
      <c r="A352" t="str">
        <f>Prices!A358</f>
        <v>21093-01</v>
      </c>
      <c r="B352" s="470">
        <f>IF('Flow Indicator Parts List'!$D$2="CDN$",_xlfn.XLOOKUP(A352,Prices!A:A,Prices!D:D),IF('Flow Indicator Parts List'!$D$2="US$",_xlfn.XLOOKUP(CurrencyModifier!A352,Prices!A:A,Prices!E:E,"MISSING")))</f>
        <v>5.4180000000000001</v>
      </c>
    </row>
    <row r="353" spans="1:2">
      <c r="A353" t="str">
        <f>Prices!A359</f>
        <v>21093-V0</v>
      </c>
      <c r="B353" s="470">
        <f>IF('Flow Indicator Parts List'!$D$2="CDN$",_xlfn.XLOOKUP(A353,Prices!A:A,Prices!D:D),IF('Flow Indicator Parts List'!$D$2="US$",_xlfn.XLOOKUP(CurrencyModifier!A353,Prices!A:A,Prices!E:E,"MISSING")))</f>
        <v>8.9740000000000002</v>
      </c>
    </row>
    <row r="354" spans="1:2">
      <c r="A354" t="str">
        <f>Prices!A360</f>
        <v>21104-00</v>
      </c>
      <c r="B354" s="470">
        <f>IF('Flow Indicator Parts List'!$D$2="CDN$",_xlfn.XLOOKUP(A354,Prices!A:A,Prices!D:D),IF('Flow Indicator Parts List'!$D$2="US$",_xlfn.XLOOKUP(CurrencyModifier!A354,Prices!A:A,Prices!E:E,"MISSING")))</f>
        <v>6.8319999999999999</v>
      </c>
    </row>
    <row r="355" spans="1:2">
      <c r="A355" t="str">
        <f>Prices!A361</f>
        <v>21104-01</v>
      </c>
      <c r="B355" s="470">
        <f>IF('Flow Indicator Parts List'!$D$2="CDN$",_xlfn.XLOOKUP(A355,Prices!A:A,Prices!D:D),IF('Flow Indicator Parts List'!$D$2="US$",_xlfn.XLOOKUP(CurrencyModifier!A355,Prices!A:A,Prices!E:E,"MISSING")))</f>
        <v>5.4180000000000001</v>
      </c>
    </row>
    <row r="356" spans="1:2">
      <c r="A356" t="str">
        <f>Prices!A362</f>
        <v>21104-V0</v>
      </c>
      <c r="B356" s="470">
        <f>IF('Flow Indicator Parts List'!$D$2="CDN$",_xlfn.XLOOKUP(A356,Prices!A:A,Prices!D:D),IF('Flow Indicator Parts List'!$D$2="US$",_xlfn.XLOOKUP(CurrencyModifier!A356,Prices!A:A,Prices!E:E,"MISSING")))</f>
        <v>8.9740000000000002</v>
      </c>
    </row>
    <row r="357" spans="1:2">
      <c r="A357" t="str">
        <f>Prices!A363</f>
        <v>21107-00</v>
      </c>
      <c r="B357" s="470">
        <f>IF('Flow Indicator Parts List'!$D$2="CDN$",_xlfn.XLOOKUP(A357,Prices!A:A,Prices!D:D),IF('Flow Indicator Parts List'!$D$2="US$",_xlfn.XLOOKUP(CurrencyModifier!A357,Prices!A:A,Prices!E:E,"MISSING")))</f>
        <v>6.8319999999999999</v>
      </c>
    </row>
    <row r="358" spans="1:2">
      <c r="A358" t="str">
        <f>Prices!A364</f>
        <v>21107-01</v>
      </c>
      <c r="B358" s="470">
        <f>IF('Flow Indicator Parts List'!$D$2="CDN$",_xlfn.XLOOKUP(A358,Prices!A:A,Prices!D:D),IF('Flow Indicator Parts List'!$D$2="US$",_xlfn.XLOOKUP(CurrencyModifier!A358,Prices!A:A,Prices!E:E,"MISSING")))</f>
        <v>5.4180000000000001</v>
      </c>
    </row>
    <row r="359" spans="1:2">
      <c r="A359" t="str">
        <f>Prices!A365</f>
        <v>21107-V0</v>
      </c>
      <c r="B359" s="470">
        <f>IF('Flow Indicator Parts List'!$D$2="CDN$",_xlfn.XLOOKUP(A359,Prices!A:A,Prices!D:D),IF('Flow Indicator Parts List'!$D$2="US$",_xlfn.XLOOKUP(CurrencyModifier!A359,Prices!A:A,Prices!E:E,"MISSING")))</f>
        <v>8.9740000000000002</v>
      </c>
    </row>
    <row r="360" spans="1:2">
      <c r="A360" t="str">
        <f>Prices!A366</f>
        <v>21113-00</v>
      </c>
      <c r="B360" s="470">
        <f>IF('Flow Indicator Parts List'!$D$2="CDN$",_xlfn.XLOOKUP(A360,Prices!A:A,Prices!D:D),IF('Flow Indicator Parts List'!$D$2="US$",_xlfn.XLOOKUP(CurrencyModifier!A360,Prices!A:A,Prices!E:E,"MISSING")))</f>
        <v>6.8319999999999999</v>
      </c>
    </row>
    <row r="361" spans="1:2">
      <c r="A361" t="str">
        <f>Prices!A367</f>
        <v>21113-01</v>
      </c>
      <c r="B361" s="470">
        <f>IF('Flow Indicator Parts List'!$D$2="CDN$",_xlfn.XLOOKUP(A361,Prices!A:A,Prices!D:D),IF('Flow Indicator Parts List'!$D$2="US$",_xlfn.XLOOKUP(CurrencyModifier!A361,Prices!A:A,Prices!E:E,"MISSING")))</f>
        <v>5.4180000000000001</v>
      </c>
    </row>
    <row r="362" spans="1:2">
      <c r="A362" t="str">
        <f>Prices!A368</f>
        <v>21113-V0</v>
      </c>
      <c r="B362" s="470">
        <f>IF('Flow Indicator Parts List'!$D$2="CDN$",_xlfn.XLOOKUP(A362,Prices!A:A,Prices!D:D),IF('Flow Indicator Parts List'!$D$2="US$",_xlfn.XLOOKUP(CurrencyModifier!A362,Prices!A:A,Prices!E:E,"MISSING")))</f>
        <v>8.9740000000000002</v>
      </c>
    </row>
    <row r="363" spans="1:2">
      <c r="A363" t="str">
        <f>Prices!A369</f>
        <v>21120-00</v>
      </c>
      <c r="B363" s="470">
        <f>IF('Flow Indicator Parts List'!$D$2="CDN$",_xlfn.XLOOKUP(A363,Prices!A:A,Prices!D:D),IF('Flow Indicator Parts List'!$D$2="US$",_xlfn.XLOOKUP(CurrencyModifier!A363,Prices!A:A,Prices!E:E,"MISSING")))</f>
        <v>6.8319999999999999</v>
      </c>
    </row>
    <row r="364" spans="1:2">
      <c r="A364" t="str">
        <f>Prices!A370</f>
        <v>21120-01</v>
      </c>
      <c r="B364" s="470">
        <f>IF('Flow Indicator Parts List'!$D$2="CDN$",_xlfn.XLOOKUP(A364,Prices!A:A,Prices!D:D),IF('Flow Indicator Parts List'!$D$2="US$",_xlfn.XLOOKUP(CurrencyModifier!A364,Prices!A:A,Prices!E:E,"MISSING")))</f>
        <v>5.4180000000000001</v>
      </c>
    </row>
    <row r="365" spans="1:2">
      <c r="A365" t="str">
        <f>Prices!A371</f>
        <v>21120-V0</v>
      </c>
      <c r="B365" s="470">
        <f>IF('Flow Indicator Parts List'!$D$2="CDN$",_xlfn.XLOOKUP(A365,Prices!A:A,Prices!D:D),IF('Flow Indicator Parts List'!$D$2="US$",_xlfn.XLOOKUP(CurrencyModifier!A365,Prices!A:A,Prices!E:E,"MISSING")))</f>
        <v>8.9740000000000002</v>
      </c>
    </row>
    <row r="366" spans="1:2">
      <c r="A366" t="str">
        <f>Prices!A372</f>
        <v>21125-00</v>
      </c>
      <c r="B366" s="470">
        <f>IF('Flow Indicator Parts List'!$D$2="CDN$",_xlfn.XLOOKUP(A366,Prices!A:A,Prices!D:D),IF('Flow Indicator Parts List'!$D$2="US$",_xlfn.XLOOKUP(CurrencyModifier!A366,Prices!A:A,Prices!E:E,"MISSING")))</f>
        <v>6.8319999999999999</v>
      </c>
    </row>
    <row r="367" spans="1:2">
      <c r="A367" t="str">
        <f>Prices!A373</f>
        <v>21125-01</v>
      </c>
      <c r="B367" s="470">
        <f>IF('Flow Indicator Parts List'!$D$2="CDN$",_xlfn.XLOOKUP(A367,Prices!A:A,Prices!D:D),IF('Flow Indicator Parts List'!$D$2="US$",_xlfn.XLOOKUP(CurrencyModifier!A367,Prices!A:A,Prices!E:E,"MISSING")))</f>
        <v>5.4180000000000001</v>
      </c>
    </row>
    <row r="368" spans="1:2">
      <c r="A368" t="str">
        <f>Prices!A374</f>
        <v>21125-V0</v>
      </c>
      <c r="B368" s="470">
        <f>IF('Flow Indicator Parts List'!$D$2="CDN$",_xlfn.XLOOKUP(A368,Prices!A:A,Prices!D:D),IF('Flow Indicator Parts List'!$D$2="US$",_xlfn.XLOOKUP(CurrencyModifier!A368,Prices!A:A,Prices!E:E,"MISSING")))</f>
        <v>8.9740000000000002</v>
      </c>
    </row>
    <row r="369" spans="1:2">
      <c r="A369" t="str">
        <f>Prices!A375</f>
        <v>21136-00</v>
      </c>
      <c r="B369" s="470">
        <f>IF('Flow Indicator Parts List'!$D$2="CDN$",_xlfn.XLOOKUP(A369,Prices!A:A,Prices!D:D),IF('Flow Indicator Parts List'!$D$2="US$",_xlfn.XLOOKUP(CurrencyModifier!A369,Prices!A:A,Prices!E:E,"MISSING")))</f>
        <v>6.8319999999999999</v>
      </c>
    </row>
    <row r="370" spans="1:2">
      <c r="A370" t="str">
        <f>Prices!A376</f>
        <v>21136-01</v>
      </c>
      <c r="B370" s="470">
        <f>IF('Flow Indicator Parts List'!$D$2="CDN$",_xlfn.XLOOKUP(A370,Prices!A:A,Prices!D:D),IF('Flow Indicator Parts List'!$D$2="US$",_xlfn.XLOOKUP(CurrencyModifier!A370,Prices!A:A,Prices!E:E,"MISSING")))</f>
        <v>5.4180000000000001</v>
      </c>
    </row>
    <row r="371" spans="1:2">
      <c r="A371" t="str">
        <f>Prices!A377</f>
        <v>21136-V0</v>
      </c>
      <c r="B371" s="470">
        <f>IF('Flow Indicator Parts List'!$D$2="CDN$",_xlfn.XLOOKUP(A371,Prices!A:A,Prices!D:D),IF('Flow Indicator Parts List'!$D$2="US$",_xlfn.XLOOKUP(CurrencyModifier!A371,Prices!A:A,Prices!E:E,"MISSING")))</f>
        <v>8.9740000000000002</v>
      </c>
    </row>
    <row r="372" spans="1:2">
      <c r="A372" t="str">
        <f>Prices!A378</f>
        <v>21147-00</v>
      </c>
      <c r="B372" s="470">
        <f>IF('Flow Indicator Parts List'!$D$2="CDN$",_xlfn.XLOOKUP(A372,Prices!A:A,Prices!D:D),IF('Flow Indicator Parts List'!$D$2="US$",_xlfn.XLOOKUP(CurrencyModifier!A372,Prices!A:A,Prices!E:E,"MISSING")))</f>
        <v>6.8319999999999999</v>
      </c>
    </row>
    <row r="373" spans="1:2">
      <c r="A373" t="str">
        <f>Prices!A379</f>
        <v>21147-01</v>
      </c>
      <c r="B373" s="470">
        <f>IF('Flow Indicator Parts List'!$D$2="CDN$",_xlfn.XLOOKUP(A373,Prices!A:A,Prices!D:D),IF('Flow Indicator Parts List'!$D$2="US$",_xlfn.XLOOKUP(CurrencyModifier!A373,Prices!A:A,Prices!E:E,"MISSING")))</f>
        <v>5.4180000000000001</v>
      </c>
    </row>
    <row r="374" spans="1:2">
      <c r="A374" t="str">
        <f>Prices!A380</f>
        <v>21147-V0</v>
      </c>
      <c r="B374" s="470">
        <f>IF('Flow Indicator Parts List'!$D$2="CDN$",_xlfn.XLOOKUP(A374,Prices!A:A,Prices!D:D),IF('Flow Indicator Parts List'!$D$2="US$",_xlfn.XLOOKUP(CurrencyModifier!A374,Prices!A:A,Prices!E:E,"MISSING")))</f>
        <v>8.9740000000000002</v>
      </c>
    </row>
    <row r="375" spans="1:2">
      <c r="A375" t="str">
        <f>Prices!A381</f>
        <v>21150-00</v>
      </c>
      <c r="B375" s="470">
        <f>IF('Flow Indicator Parts List'!$D$2="CDN$",_xlfn.XLOOKUP(A375,Prices!A:A,Prices!D:D),IF('Flow Indicator Parts List'!$D$2="US$",_xlfn.XLOOKUP(CurrencyModifier!A375,Prices!A:A,Prices!E:E,"MISSING")))</f>
        <v>6.8319999999999999</v>
      </c>
    </row>
    <row r="376" spans="1:2">
      <c r="A376" t="str">
        <f>Prices!A382</f>
        <v>21150-01</v>
      </c>
      <c r="B376" s="470">
        <f>IF('Flow Indicator Parts List'!$D$2="CDN$",_xlfn.XLOOKUP(A376,Prices!A:A,Prices!D:D),IF('Flow Indicator Parts List'!$D$2="US$",_xlfn.XLOOKUP(CurrencyModifier!A376,Prices!A:A,Prices!E:E,"MISSING")))</f>
        <v>5.4180000000000001</v>
      </c>
    </row>
    <row r="377" spans="1:2">
      <c r="A377" t="str">
        <f>Prices!A383</f>
        <v>21150-V0</v>
      </c>
      <c r="B377" s="470">
        <f>IF('Flow Indicator Parts List'!$D$2="CDN$",_xlfn.XLOOKUP(A377,Prices!A:A,Prices!D:D),IF('Flow Indicator Parts List'!$D$2="US$",_xlfn.XLOOKUP(CurrencyModifier!A377,Prices!A:A,Prices!E:E,"MISSING")))</f>
        <v>8.9740000000000002</v>
      </c>
    </row>
    <row r="378" spans="1:2">
      <c r="A378" t="str">
        <f>Prices!A384</f>
        <v>21152-00</v>
      </c>
      <c r="B378" s="470">
        <f>IF('Flow Indicator Parts List'!$D$2="CDN$",_xlfn.XLOOKUP(A378,Prices!A:A,Prices!D:D),IF('Flow Indicator Parts List'!$D$2="US$",_xlfn.XLOOKUP(CurrencyModifier!A378,Prices!A:A,Prices!E:E,"MISSING")))</f>
        <v>6.8319999999999999</v>
      </c>
    </row>
    <row r="379" spans="1:2">
      <c r="A379" t="str">
        <f>Prices!A385</f>
        <v>21152-01</v>
      </c>
      <c r="B379" s="470">
        <f>IF('Flow Indicator Parts List'!$D$2="CDN$",_xlfn.XLOOKUP(A379,Prices!A:A,Prices!D:D),IF('Flow Indicator Parts List'!$D$2="US$",_xlfn.XLOOKUP(CurrencyModifier!A379,Prices!A:A,Prices!E:E,"MISSING")))</f>
        <v>5.4180000000000001</v>
      </c>
    </row>
    <row r="380" spans="1:2">
      <c r="A380" t="str">
        <f>Prices!A386</f>
        <v>21152-V0</v>
      </c>
      <c r="B380" s="470">
        <f>IF('Flow Indicator Parts List'!$D$2="CDN$",_xlfn.XLOOKUP(A380,Prices!A:A,Prices!D:D),IF('Flow Indicator Parts List'!$D$2="US$",_xlfn.XLOOKUP(CurrencyModifier!A380,Prices!A:A,Prices!E:E,"MISSING")))</f>
        <v>8.9740000000000002</v>
      </c>
    </row>
    <row r="381" spans="1:2">
      <c r="A381" t="str">
        <f>Prices!A387</f>
        <v>21250-00</v>
      </c>
      <c r="B381" s="470">
        <f>IF('Flow Indicator Parts List'!$D$2="CDN$",_xlfn.XLOOKUP(A381,Prices!A:A,Prices!D:D),IF('Flow Indicator Parts List'!$D$2="US$",_xlfn.XLOOKUP(CurrencyModifier!A381,Prices!A:A,Prices!E:E,"MISSING")))</f>
        <v>6.8319999999999999</v>
      </c>
    </row>
    <row r="382" spans="1:2">
      <c r="A382" t="str">
        <f>Prices!A388</f>
        <v>21250-01</v>
      </c>
      <c r="B382" s="470">
        <f>IF('Flow Indicator Parts List'!$D$2="CDN$",_xlfn.XLOOKUP(A382,Prices!A:A,Prices!D:D),IF('Flow Indicator Parts List'!$D$2="US$",_xlfn.XLOOKUP(CurrencyModifier!A382,Prices!A:A,Prices!E:E,"MISSING")))</f>
        <v>5.4180000000000001</v>
      </c>
    </row>
    <row r="383" spans="1:2">
      <c r="A383" t="str">
        <f>Prices!A389</f>
        <v>21500-003</v>
      </c>
      <c r="B383" s="470">
        <f>IF('Flow Indicator Parts List'!$D$2="CDN$",_xlfn.XLOOKUP(A383,Prices!A:A,Prices!D:D),IF('Flow Indicator Parts List'!$D$2="US$",_xlfn.XLOOKUP(CurrencyModifier!A383,Prices!A:A,Prices!E:E,"MISSING")))</f>
        <v>5.0069999999999997</v>
      </c>
    </row>
    <row r="384" spans="1:2">
      <c r="A384" t="str">
        <f>Prices!A390</f>
        <v>21500-005</v>
      </c>
      <c r="B384" s="470">
        <f>IF('Flow Indicator Parts List'!$D$2="CDN$",_xlfn.XLOOKUP(A384,Prices!A:A,Prices!D:D),IF('Flow Indicator Parts List'!$D$2="US$",_xlfn.XLOOKUP(CurrencyModifier!A384,Prices!A:A,Prices!E:E,"MISSING")))</f>
        <v>5.0069999999999997</v>
      </c>
    </row>
    <row r="385" spans="1:2">
      <c r="A385" t="str">
        <f>Prices!A391</f>
        <v>21500-007</v>
      </c>
      <c r="B385" s="470">
        <f>IF('Flow Indicator Parts List'!$D$2="CDN$",_xlfn.XLOOKUP(A385,Prices!A:A,Prices!D:D),IF('Flow Indicator Parts List'!$D$2="US$",_xlfn.XLOOKUP(CurrencyModifier!A385,Prices!A:A,Prices!E:E,"MISSING")))</f>
        <v>5.0069999999999997</v>
      </c>
    </row>
    <row r="386" spans="1:2">
      <c r="A386" t="str">
        <f>Prices!A392</f>
        <v>21500-01</v>
      </c>
      <c r="B386" s="470">
        <f>IF('Flow Indicator Parts List'!$D$2="CDN$",_xlfn.XLOOKUP(A386,Prices!A:A,Prices!D:D),IF('Flow Indicator Parts List'!$D$2="US$",_xlfn.XLOOKUP(CurrencyModifier!A386,Prices!A:A,Prices!E:E,"MISSING")))</f>
        <v>4.0060000000000002</v>
      </c>
    </row>
    <row r="387" spans="1:2">
      <c r="A387" t="str">
        <f>Prices!A393</f>
        <v>21500-015</v>
      </c>
      <c r="B387" s="470">
        <f>IF('Flow Indicator Parts List'!$D$2="CDN$",_xlfn.XLOOKUP(A387,Prices!A:A,Prices!D:D),IF('Flow Indicator Parts List'!$D$2="US$",_xlfn.XLOOKUP(CurrencyModifier!A387,Prices!A:A,Prices!E:E,"MISSING")))</f>
        <v>4.0060000000000002</v>
      </c>
    </row>
    <row r="388" spans="1:2">
      <c r="A388" t="str">
        <f>Prices!A394</f>
        <v>21500-02</v>
      </c>
      <c r="B388" s="470">
        <f>IF('Flow Indicator Parts List'!$D$2="CDN$",_xlfn.XLOOKUP(A388,Prices!A:A,Prices!D:D),IF('Flow Indicator Parts List'!$D$2="US$",_xlfn.XLOOKUP(CurrencyModifier!A388,Prices!A:A,Prices!E:E,"MISSING")))</f>
        <v>4.0060000000000002</v>
      </c>
    </row>
    <row r="389" spans="1:2">
      <c r="A389" t="str">
        <f>Prices!A395</f>
        <v>21500-025</v>
      </c>
      <c r="B389" s="470">
        <f>IF('Flow Indicator Parts List'!$D$2="CDN$",_xlfn.XLOOKUP(A389,Prices!A:A,Prices!D:D),IF('Flow Indicator Parts List'!$D$2="US$",_xlfn.XLOOKUP(CurrencyModifier!A389,Prices!A:A,Prices!E:E,"MISSING")))</f>
        <v>4.0060000000000002</v>
      </c>
    </row>
    <row r="390" spans="1:2">
      <c r="A390" t="str">
        <f>Prices!A396</f>
        <v>21500-03</v>
      </c>
      <c r="B390" s="470">
        <f>IF('Flow Indicator Parts List'!$D$2="CDN$",_xlfn.XLOOKUP(A390,Prices!A:A,Prices!D:D),IF('Flow Indicator Parts List'!$D$2="US$",_xlfn.XLOOKUP(CurrencyModifier!A390,Prices!A:A,Prices!E:E,"MISSING")))</f>
        <v>4.0060000000000002</v>
      </c>
    </row>
    <row r="391" spans="1:2">
      <c r="A391" t="str">
        <f>Prices!A397</f>
        <v>21500-04</v>
      </c>
      <c r="B391" s="470">
        <f>IF('Flow Indicator Parts List'!$D$2="CDN$",_xlfn.XLOOKUP(A391,Prices!A:A,Prices!D:D),IF('Flow Indicator Parts List'!$D$2="US$",_xlfn.XLOOKUP(CurrencyModifier!A391,Prices!A:A,Prices!E:E,"MISSING")))</f>
        <v>4.0060000000000002</v>
      </c>
    </row>
    <row r="392" spans="1:2">
      <c r="A392" t="str">
        <f>Prices!A398</f>
        <v>21500-05</v>
      </c>
      <c r="B392" s="470">
        <f>IF('Flow Indicator Parts List'!$D$2="CDN$",_xlfn.XLOOKUP(A392,Prices!A:A,Prices!D:D),IF('Flow Indicator Parts List'!$D$2="US$",_xlfn.XLOOKUP(CurrencyModifier!A392,Prices!A:A,Prices!E:E,"MISSING")))</f>
        <v>4.0060000000000002</v>
      </c>
    </row>
    <row r="393" spans="1:2">
      <c r="A393" t="str">
        <f>Prices!A399</f>
        <v>21500-06</v>
      </c>
      <c r="B393" s="470">
        <f>IF('Flow Indicator Parts List'!$D$2="CDN$",_xlfn.XLOOKUP(A393,Prices!A:A,Prices!D:D),IF('Flow Indicator Parts List'!$D$2="US$",_xlfn.XLOOKUP(CurrencyModifier!A393,Prices!A:A,Prices!E:E,"MISSING")))</f>
        <v>4.0060000000000002</v>
      </c>
    </row>
    <row r="394" spans="1:2">
      <c r="A394" t="str">
        <f>Prices!A400</f>
        <v>21500-08</v>
      </c>
      <c r="B394" s="470">
        <f>IF('Flow Indicator Parts List'!$D$2="CDN$",_xlfn.XLOOKUP(A394,Prices!A:A,Prices!D:D),IF('Flow Indicator Parts List'!$D$2="US$",_xlfn.XLOOKUP(CurrencyModifier!A394,Prices!A:A,Prices!E:E,"MISSING")))</f>
        <v>4.0060000000000002</v>
      </c>
    </row>
    <row r="395" spans="1:2">
      <c r="A395" t="str">
        <f>Prices!A401</f>
        <v>21500-10</v>
      </c>
      <c r="B395" s="470">
        <f>IF('Flow Indicator Parts List'!$D$2="CDN$",_xlfn.XLOOKUP(A395,Prices!A:A,Prices!D:D),IF('Flow Indicator Parts List'!$D$2="US$",_xlfn.XLOOKUP(CurrencyModifier!A395,Prices!A:A,Prices!E:E,"MISSING")))</f>
        <v>4.0060000000000002</v>
      </c>
    </row>
    <row r="396" spans="1:2">
      <c r="A396" t="str">
        <f>Prices!A402</f>
        <v>21500-125</v>
      </c>
      <c r="B396" s="470">
        <f>IF('Flow Indicator Parts List'!$D$2="CDN$",_xlfn.XLOOKUP(A396,Prices!A:A,Prices!D:D),IF('Flow Indicator Parts List'!$D$2="US$",_xlfn.XLOOKUP(CurrencyModifier!A396,Prices!A:A,Prices!E:E,"MISSING")))</f>
        <v>4.0060000000000002</v>
      </c>
    </row>
    <row r="397" spans="1:2">
      <c r="A397" t="str">
        <f>Prices!A403</f>
        <v>21500-15</v>
      </c>
      <c r="B397" s="470">
        <f>IF('Flow Indicator Parts List'!$D$2="CDN$",_xlfn.XLOOKUP(A397,Prices!A:A,Prices!D:D),IF('Flow Indicator Parts List'!$D$2="US$",_xlfn.XLOOKUP(CurrencyModifier!A397,Prices!A:A,Prices!E:E,"MISSING")))</f>
        <v>4.0060000000000002</v>
      </c>
    </row>
    <row r="398" spans="1:2">
      <c r="A398" t="str">
        <f>Prices!A404</f>
        <v>21500-20</v>
      </c>
      <c r="B398" s="470">
        <f>IF('Flow Indicator Parts List'!$D$2="CDN$",_xlfn.XLOOKUP(A398,Prices!A:A,Prices!D:D),IF('Flow Indicator Parts List'!$D$2="US$",_xlfn.XLOOKUP(CurrencyModifier!A398,Prices!A:A,Prices!E:E,"MISSING")))</f>
        <v>4.0060000000000002</v>
      </c>
    </row>
    <row r="399" spans="1:2">
      <c r="A399" t="str">
        <f>Prices!A405</f>
        <v>21500-V003</v>
      </c>
      <c r="B399" s="470">
        <f>IF('Flow Indicator Parts List'!$D$2="CDN$",_xlfn.XLOOKUP(A399,Prices!A:A,Prices!D:D),IF('Flow Indicator Parts List'!$D$2="US$",_xlfn.XLOOKUP(CurrencyModifier!A399,Prices!A:A,Prices!E:E,"MISSING")))</f>
        <v>5.5990000000000002</v>
      </c>
    </row>
    <row r="400" spans="1:2">
      <c r="A400" t="str">
        <f>Prices!A406</f>
        <v>21500-V005</v>
      </c>
      <c r="B400" s="470">
        <f>IF('Flow Indicator Parts List'!$D$2="CDN$",_xlfn.XLOOKUP(A400,Prices!A:A,Prices!D:D),IF('Flow Indicator Parts List'!$D$2="US$",_xlfn.XLOOKUP(CurrencyModifier!A400,Prices!A:A,Prices!E:E,"MISSING")))</f>
        <v>5.5990000000000002</v>
      </c>
    </row>
    <row r="401" spans="1:2">
      <c r="A401" t="str">
        <f>Prices!A407</f>
        <v>21500-V007</v>
      </c>
      <c r="B401" s="470">
        <f>IF('Flow Indicator Parts List'!$D$2="CDN$",_xlfn.XLOOKUP(A401,Prices!A:A,Prices!D:D),IF('Flow Indicator Parts List'!$D$2="US$",_xlfn.XLOOKUP(CurrencyModifier!A401,Prices!A:A,Prices!E:E,"MISSING")))</f>
        <v>5.5990000000000002</v>
      </c>
    </row>
    <row r="402" spans="1:2">
      <c r="A402" t="str">
        <f>Prices!A408</f>
        <v>21500-V01</v>
      </c>
      <c r="B402" s="470">
        <f>IF('Flow Indicator Parts List'!$D$2="CDN$",_xlfn.XLOOKUP(A402,Prices!A:A,Prices!D:D),IF('Flow Indicator Parts List'!$D$2="US$",_xlfn.XLOOKUP(CurrencyModifier!A402,Prices!A:A,Prices!E:E,"MISSING")))</f>
        <v>4.5949999999999998</v>
      </c>
    </row>
    <row r="403" spans="1:2">
      <c r="A403" t="str">
        <f>Prices!A409</f>
        <v>21500-V015</v>
      </c>
      <c r="B403" s="470">
        <f>IF('Flow Indicator Parts List'!$D$2="CDN$",_xlfn.XLOOKUP(A403,Prices!A:A,Prices!D:D),IF('Flow Indicator Parts List'!$D$2="US$",_xlfn.XLOOKUP(CurrencyModifier!A403,Prices!A:A,Prices!E:E,"MISSING")))</f>
        <v>4.5949999999999998</v>
      </c>
    </row>
    <row r="404" spans="1:2">
      <c r="A404" t="str">
        <f>Prices!A410</f>
        <v>21500-V02</v>
      </c>
      <c r="B404" s="470">
        <f>IF('Flow Indicator Parts List'!$D$2="CDN$",_xlfn.XLOOKUP(A404,Prices!A:A,Prices!D:D),IF('Flow Indicator Parts List'!$D$2="US$",_xlfn.XLOOKUP(CurrencyModifier!A404,Prices!A:A,Prices!E:E,"MISSING")))</f>
        <v>4.5949999999999998</v>
      </c>
    </row>
    <row r="405" spans="1:2">
      <c r="A405" t="str">
        <f>Prices!A411</f>
        <v>21500-V025</v>
      </c>
      <c r="B405" s="470">
        <f>IF('Flow Indicator Parts List'!$D$2="CDN$",_xlfn.XLOOKUP(A405,Prices!A:A,Prices!D:D),IF('Flow Indicator Parts List'!$D$2="US$",_xlfn.XLOOKUP(CurrencyModifier!A405,Prices!A:A,Prices!E:E,"MISSING")))</f>
        <v>4.5949999999999998</v>
      </c>
    </row>
    <row r="406" spans="1:2">
      <c r="A406" t="str">
        <f>Prices!A412</f>
        <v>21500-V03</v>
      </c>
      <c r="B406" s="470">
        <f>IF('Flow Indicator Parts List'!$D$2="CDN$",_xlfn.XLOOKUP(A406,Prices!A:A,Prices!D:D),IF('Flow Indicator Parts List'!$D$2="US$",_xlfn.XLOOKUP(CurrencyModifier!A406,Prices!A:A,Prices!E:E,"MISSING")))</f>
        <v>4.5949999999999998</v>
      </c>
    </row>
    <row r="407" spans="1:2">
      <c r="A407" t="str">
        <f>Prices!A413</f>
        <v>21500-V04</v>
      </c>
      <c r="B407" s="470">
        <f>IF('Flow Indicator Parts List'!$D$2="CDN$",_xlfn.XLOOKUP(A407,Prices!A:A,Prices!D:D),IF('Flow Indicator Parts List'!$D$2="US$",_xlfn.XLOOKUP(CurrencyModifier!A407,Prices!A:A,Prices!E:E,"MISSING")))</f>
        <v>4.5949999999999998</v>
      </c>
    </row>
    <row r="408" spans="1:2">
      <c r="A408" t="str">
        <f>Prices!A414</f>
        <v>21500-V05</v>
      </c>
      <c r="B408" s="470">
        <f>IF('Flow Indicator Parts List'!$D$2="CDN$",_xlfn.XLOOKUP(A408,Prices!A:A,Prices!D:D),IF('Flow Indicator Parts List'!$D$2="US$",_xlfn.XLOOKUP(CurrencyModifier!A408,Prices!A:A,Prices!E:E,"MISSING")))</f>
        <v>4.5949999999999998</v>
      </c>
    </row>
    <row r="409" spans="1:2">
      <c r="A409" t="str">
        <f>Prices!A415</f>
        <v>21500-V06</v>
      </c>
      <c r="B409" s="470">
        <f>IF('Flow Indicator Parts List'!$D$2="CDN$",_xlfn.XLOOKUP(A409,Prices!A:A,Prices!D:D),IF('Flow Indicator Parts List'!$D$2="US$",_xlfn.XLOOKUP(CurrencyModifier!A409,Prices!A:A,Prices!E:E,"MISSING")))</f>
        <v>4.5949999999999998</v>
      </c>
    </row>
    <row r="410" spans="1:2">
      <c r="A410" t="str">
        <f>Prices!A416</f>
        <v>21500-V08</v>
      </c>
      <c r="B410" s="470">
        <f>IF('Flow Indicator Parts List'!$D$2="CDN$",_xlfn.XLOOKUP(A410,Prices!A:A,Prices!D:D),IF('Flow Indicator Parts List'!$D$2="US$",_xlfn.XLOOKUP(CurrencyModifier!A410,Prices!A:A,Prices!E:E,"MISSING")))</f>
        <v>4.5949999999999998</v>
      </c>
    </row>
    <row r="411" spans="1:2">
      <c r="A411" t="str">
        <f>Prices!A417</f>
        <v>21500-V10</v>
      </c>
      <c r="B411" s="470">
        <f>IF('Flow Indicator Parts List'!$D$2="CDN$",_xlfn.XLOOKUP(A411,Prices!A:A,Prices!D:D),IF('Flow Indicator Parts List'!$D$2="US$",_xlfn.XLOOKUP(CurrencyModifier!A411,Prices!A:A,Prices!E:E,"MISSING")))</f>
        <v>4.5949999999999998</v>
      </c>
    </row>
    <row r="412" spans="1:2">
      <c r="A412" t="str">
        <f>Prices!A418</f>
        <v>21500-V125</v>
      </c>
      <c r="B412" s="470">
        <f>IF('Flow Indicator Parts List'!$D$2="CDN$",_xlfn.XLOOKUP(A412,Prices!A:A,Prices!D:D),IF('Flow Indicator Parts List'!$D$2="US$",_xlfn.XLOOKUP(CurrencyModifier!A412,Prices!A:A,Prices!E:E,"MISSING")))</f>
        <v>4.5949999999999998</v>
      </c>
    </row>
    <row r="413" spans="1:2">
      <c r="A413" t="str">
        <f>Prices!A419</f>
        <v>21500-V15</v>
      </c>
      <c r="B413" s="470">
        <f>IF('Flow Indicator Parts List'!$D$2="CDN$",_xlfn.XLOOKUP(A413,Prices!A:A,Prices!D:D),IF('Flow Indicator Parts List'!$D$2="US$",_xlfn.XLOOKUP(CurrencyModifier!A413,Prices!A:A,Prices!E:E,"MISSING")))</f>
        <v>4.5949999999999998</v>
      </c>
    </row>
    <row r="414" spans="1:2">
      <c r="A414" t="str">
        <f>Prices!A420</f>
        <v>21500-V20</v>
      </c>
      <c r="B414" s="470">
        <f>IF('Flow Indicator Parts List'!$D$2="CDN$",_xlfn.XLOOKUP(A414,Prices!A:A,Prices!D:D),IF('Flow Indicator Parts List'!$D$2="US$",_xlfn.XLOOKUP(CurrencyModifier!A414,Prices!A:A,Prices!E:E,"MISSING")))</f>
        <v>4.5949999999999998</v>
      </c>
    </row>
    <row r="415" spans="1:2">
      <c r="A415" t="str">
        <f>Prices!A421</f>
        <v>21XXX-00</v>
      </c>
      <c r="B415" s="470">
        <f>IF('Flow Indicator Parts List'!$D$2="CDN$",_xlfn.XLOOKUP(A415,Prices!A:A,Prices!D:D),IF('Flow Indicator Parts List'!$D$2="US$",_xlfn.XLOOKUP(CurrencyModifier!A415,Prices!A:A,Prices!E:E,"MISSING")))</f>
        <v>5.899</v>
      </c>
    </row>
    <row r="416" spans="1:2">
      <c r="A416" t="str">
        <f>Prices!A422</f>
        <v>21XXX-V0</v>
      </c>
      <c r="B416" s="470">
        <f>IF('Flow Indicator Parts List'!$D$2="CDN$",_xlfn.XLOOKUP(A416,Prices!A:A,Prices!D:D),IF('Flow Indicator Parts List'!$D$2="US$",_xlfn.XLOOKUP(CurrencyModifier!A416,Prices!A:A,Prices!E:E,"MISSING")))</f>
        <v>7.7380000000000004</v>
      </c>
    </row>
    <row r="417" spans="1:2">
      <c r="A417" t="str">
        <f>Prices!A423</f>
        <v>22021-00</v>
      </c>
      <c r="B417" s="470">
        <f>IF('Flow Indicator Parts List'!$D$2="CDN$",_xlfn.XLOOKUP(A417,Prices!A:A,Prices!D:D),IF('Flow Indicator Parts List'!$D$2="US$",_xlfn.XLOOKUP(CurrencyModifier!A417,Prices!A:A,Prices!E:E,"MISSING")))</f>
        <v>13.425000000000001</v>
      </c>
    </row>
    <row r="418" spans="1:2">
      <c r="A418" t="str">
        <f>Prices!A424</f>
        <v>22025-00</v>
      </c>
      <c r="B418" s="470">
        <f>IF('Flow Indicator Parts List'!$D$2="CDN$",_xlfn.XLOOKUP(A418,Prices!A:A,Prices!D:D),IF('Flow Indicator Parts List'!$D$2="US$",_xlfn.XLOOKUP(CurrencyModifier!A418,Prices!A:A,Prices!E:E,"MISSING")))</f>
        <v>15.581</v>
      </c>
    </row>
    <row r="419" spans="1:2">
      <c r="A419" t="str">
        <f>Prices!A425</f>
        <v>22026-00</v>
      </c>
      <c r="B419" s="470">
        <f>IF('Flow Indicator Parts List'!$D$2="CDN$",_xlfn.XLOOKUP(A419,Prices!A:A,Prices!D:D),IF('Flow Indicator Parts List'!$D$2="US$",_xlfn.XLOOKUP(CurrencyModifier!A419,Prices!A:A,Prices!E:E,"MISSING")))</f>
        <v>12.948</v>
      </c>
    </row>
    <row r="420" spans="1:2">
      <c r="A420" t="str">
        <f>Prices!A426</f>
        <v>22031-00</v>
      </c>
      <c r="B420" s="470">
        <f>IF('Flow Indicator Parts List'!$D$2="CDN$",_xlfn.XLOOKUP(A420,Prices!A:A,Prices!D:D),IF('Flow Indicator Parts List'!$D$2="US$",_xlfn.XLOOKUP(CurrencyModifier!A420,Prices!A:A,Prices!E:E,"MISSING")))</f>
        <v>17.408999999999999</v>
      </c>
    </row>
    <row r="421" spans="1:2">
      <c r="A421" t="str">
        <f>Prices!A427</f>
        <v>22035-00</v>
      </c>
      <c r="B421" s="470">
        <f>IF('Flow Indicator Parts List'!$D$2="CDN$",_xlfn.XLOOKUP(A421,Prices!A:A,Prices!D:D),IF('Flow Indicator Parts List'!$D$2="US$",_xlfn.XLOOKUP(CurrencyModifier!A421,Prices!A:A,Prices!E:E,"MISSING")))</f>
        <v>19.565000000000001</v>
      </c>
    </row>
    <row r="422" spans="1:2">
      <c r="A422" t="str">
        <f>Prices!A428</f>
        <v>22036-00</v>
      </c>
      <c r="B422" s="470">
        <f>IF('Flow Indicator Parts List'!$D$2="CDN$",_xlfn.XLOOKUP(A422,Prices!A:A,Prices!D:D),IF('Flow Indicator Parts List'!$D$2="US$",_xlfn.XLOOKUP(CurrencyModifier!A422,Prices!A:A,Prices!E:E,"MISSING")))</f>
        <v>16.905000000000001</v>
      </c>
    </row>
    <row r="423" spans="1:2">
      <c r="A423" t="str">
        <f>Prices!A429</f>
        <v>22037-00</v>
      </c>
      <c r="B423" s="470">
        <f>IF('Flow Indicator Parts List'!$D$2="CDN$",_xlfn.XLOOKUP(A423,Prices!A:A,Prices!D:D),IF('Flow Indicator Parts List'!$D$2="US$",_xlfn.XLOOKUP(CurrencyModifier!A423,Prices!A:A,Prices!E:E,"MISSING")))</f>
        <v>28.785</v>
      </c>
    </row>
    <row r="424" spans="1:2">
      <c r="A424" t="str">
        <f>Prices!A430</f>
        <v>22038-00</v>
      </c>
      <c r="B424" s="470">
        <f>IF('Flow Indicator Parts List'!$D$2="CDN$",_xlfn.XLOOKUP(A424,Prices!A:A,Prices!D:D),IF('Flow Indicator Parts List'!$D$2="US$",_xlfn.XLOOKUP(CurrencyModifier!A424,Prices!A:A,Prices!E:E,"MISSING")))</f>
        <v>28.785</v>
      </c>
    </row>
    <row r="425" spans="1:2">
      <c r="A425" t="str">
        <f>Prices!A431</f>
        <v>22047-00</v>
      </c>
      <c r="B425" s="470">
        <f>IF('Flow Indicator Parts List'!$D$2="CDN$",_xlfn.XLOOKUP(A425,Prices!A:A,Prices!D:D),IF('Flow Indicator Parts List'!$D$2="US$",_xlfn.XLOOKUP(CurrencyModifier!A425,Prices!A:A,Prices!E:E,"MISSING")))</f>
        <v>28.785</v>
      </c>
    </row>
    <row r="426" spans="1:2">
      <c r="A426" t="str">
        <f>Prices!A432</f>
        <v>22048-00</v>
      </c>
      <c r="B426" s="470">
        <f>IF('Flow Indicator Parts List'!$D$2="CDN$",_xlfn.XLOOKUP(A426,Prices!A:A,Prices!D:D),IF('Flow Indicator Parts List'!$D$2="US$",_xlfn.XLOOKUP(CurrencyModifier!A426,Prices!A:A,Prices!E:E,"MISSING")))</f>
        <v>28.785</v>
      </c>
    </row>
    <row r="427" spans="1:2">
      <c r="A427" t="str">
        <f>Prices!A433</f>
        <v>23021-00</v>
      </c>
      <c r="B427" s="470">
        <f>IF('Flow Indicator Parts List'!$D$2="CDN$",_xlfn.XLOOKUP(A427,Prices!A:A,Prices!D:D),IF('Flow Indicator Parts List'!$D$2="US$",_xlfn.XLOOKUP(CurrencyModifier!A427,Prices!A:A,Prices!E:E,"MISSING")))</f>
        <v>0.86099999999999999</v>
      </c>
    </row>
    <row r="428" spans="1:2">
      <c r="A428" t="str">
        <f>Prices!A434</f>
        <v>23022-00</v>
      </c>
      <c r="B428" s="470">
        <f>IF('Flow Indicator Parts List'!$D$2="CDN$",_xlfn.XLOOKUP(A428,Prices!A:A,Prices!D:D),IF('Flow Indicator Parts List'!$D$2="US$",_xlfn.XLOOKUP(CurrencyModifier!A428,Prices!A:A,Prices!E:E,"MISSING")))</f>
        <v>0.86099999999999999</v>
      </c>
    </row>
    <row r="429" spans="1:2">
      <c r="A429" t="str">
        <f>Prices!A435</f>
        <v>23025-00</v>
      </c>
      <c r="B429" s="470">
        <f>IF('Flow Indicator Parts List'!$D$2="CDN$",_xlfn.XLOOKUP(A429,Prices!A:A,Prices!D:D),IF('Flow Indicator Parts List'!$D$2="US$",_xlfn.XLOOKUP(CurrencyModifier!A429,Prices!A:A,Prices!E:E,"MISSING")))</f>
        <v>3.7240000000000002</v>
      </c>
    </row>
    <row r="430" spans="1:2">
      <c r="A430" t="str">
        <f>Prices!A436</f>
        <v>23032-00</v>
      </c>
      <c r="B430" s="470">
        <f>IF('Flow Indicator Parts List'!$D$2="CDN$",_xlfn.XLOOKUP(A430,Prices!A:A,Prices!D:D),IF('Flow Indicator Parts List'!$D$2="US$",_xlfn.XLOOKUP(CurrencyModifier!A430,Prices!A:A,Prices!E:E,"MISSING")))</f>
        <v>0.88100000000000001</v>
      </c>
    </row>
    <row r="431" spans="1:2">
      <c r="A431" t="str">
        <f>Prices!A437</f>
        <v>23033-00</v>
      </c>
      <c r="B431" s="470">
        <f>IF('Flow Indicator Parts List'!$D$2="CDN$",_xlfn.XLOOKUP(A431,Prices!A:A,Prices!D:D),IF('Flow Indicator Parts List'!$D$2="US$",_xlfn.XLOOKUP(CurrencyModifier!A431,Prices!A:A,Prices!E:E,"MISSING")))</f>
        <v>0.94099999999999995</v>
      </c>
    </row>
    <row r="432" spans="1:2">
      <c r="A432" t="str">
        <f>Prices!A438</f>
        <v>23040-00</v>
      </c>
      <c r="B432" s="470">
        <f>IF('Flow Indicator Parts List'!$D$2="CDN$",_xlfn.XLOOKUP(A432,Prices!A:A,Prices!D:D),IF('Flow Indicator Parts List'!$D$2="US$",_xlfn.XLOOKUP(CurrencyModifier!A432,Prices!A:A,Prices!E:E,"MISSING")))</f>
        <v>1.823</v>
      </c>
    </row>
    <row r="433" spans="1:2">
      <c r="A433" t="str">
        <f>Prices!A439</f>
        <v>23051-00</v>
      </c>
      <c r="B433" s="470">
        <f>IF('Flow Indicator Parts List'!$D$2="CDN$",_xlfn.XLOOKUP(A433,Prices!A:A,Prices!D:D),IF('Flow Indicator Parts List'!$D$2="US$",_xlfn.XLOOKUP(CurrencyModifier!A433,Prices!A:A,Prices!E:E,"MISSING")))</f>
        <v>0.56699999999999995</v>
      </c>
    </row>
    <row r="434" spans="1:2">
      <c r="A434" t="str">
        <f>Prices!A440</f>
        <v>23052-00</v>
      </c>
      <c r="B434" s="470">
        <f>IF('Flow Indicator Parts List'!$D$2="CDN$",_xlfn.XLOOKUP(A434,Prices!A:A,Prices!D:D),IF('Flow Indicator Parts List'!$D$2="US$",_xlfn.XLOOKUP(CurrencyModifier!A434,Prices!A:A,Prices!E:E,"MISSING")))</f>
        <v>0.66600000000000004</v>
      </c>
    </row>
    <row r="435" spans="1:2">
      <c r="A435" t="str">
        <f>Prices!A441</f>
        <v>23060-00</v>
      </c>
      <c r="B435" s="470">
        <f>IF('Flow Indicator Parts List'!$D$2="CDN$",_xlfn.XLOOKUP(A435,Prices!A:A,Prices!D:D),IF('Flow Indicator Parts List'!$D$2="US$",_xlfn.XLOOKUP(CurrencyModifier!A435,Prices!A:A,Prices!E:E,"MISSING")))</f>
        <v>1.1930000000000001</v>
      </c>
    </row>
    <row r="436" spans="1:2">
      <c r="A436" t="str">
        <f>Prices!A442</f>
        <v>25120-01</v>
      </c>
      <c r="B436" s="470">
        <f>IF('Flow Indicator Parts List'!$D$2="CDN$",_xlfn.XLOOKUP(A436,Prices!A:A,Prices!D:D),IF('Flow Indicator Parts List'!$D$2="US$",_xlfn.XLOOKUP(CurrencyModifier!A436,Prices!A:A,Prices!E:E,"MISSING")))</f>
        <v>3.9079999999999999</v>
      </c>
    </row>
    <row r="437" spans="1:2">
      <c r="A437" t="str">
        <f>Prices!A443</f>
        <v>25120-02</v>
      </c>
      <c r="B437" s="470">
        <f>IF('Flow Indicator Parts List'!$D$2="CDN$",_xlfn.XLOOKUP(A437,Prices!A:A,Prices!D:D),IF('Flow Indicator Parts List'!$D$2="US$",_xlfn.XLOOKUP(CurrencyModifier!A437,Prices!A:A,Prices!E:E,"MISSING")))</f>
        <v>0.64800000000000002</v>
      </c>
    </row>
    <row r="438" spans="1:2">
      <c r="A438" t="str">
        <f>Prices!A444</f>
        <v>25120-03</v>
      </c>
      <c r="B438" s="470">
        <f>IF('Flow Indicator Parts List'!$D$2="CDN$",_xlfn.XLOOKUP(A438,Prices!A:A,Prices!D:D),IF('Flow Indicator Parts List'!$D$2="US$",_xlfn.XLOOKUP(CurrencyModifier!A438,Prices!A:A,Prices!E:E,"MISSING")))</f>
        <v>2.71</v>
      </c>
    </row>
    <row r="439" spans="1:2">
      <c r="A439" t="str">
        <f>Prices!A445</f>
        <v>25120-V2</v>
      </c>
      <c r="B439" s="470">
        <f>IF('Flow Indicator Parts List'!$D$2="CDN$",_xlfn.XLOOKUP(A439,Prices!A:A,Prices!D:D),IF('Flow Indicator Parts List'!$D$2="US$",_xlfn.XLOOKUP(CurrencyModifier!A439,Prices!A:A,Prices!E:E,"MISSING")))</f>
        <v>2.831</v>
      </c>
    </row>
    <row r="440" spans="1:2">
      <c r="A440" t="str">
        <f>Prices!A446</f>
        <v>25121-01</v>
      </c>
      <c r="B440" s="470">
        <f>IF('Flow Indicator Parts List'!$D$2="CDN$",_xlfn.XLOOKUP(A440,Prices!A:A,Prices!D:D),IF('Flow Indicator Parts List'!$D$2="US$",_xlfn.XLOOKUP(CurrencyModifier!A440,Prices!A:A,Prices!E:E,"MISSING")))</f>
        <v>3.9079999999999999</v>
      </c>
    </row>
    <row r="441" spans="1:2">
      <c r="A441" t="str">
        <f>Prices!A447</f>
        <v>25122-01</v>
      </c>
      <c r="B441" s="470">
        <f>IF('Flow Indicator Parts List'!$D$2="CDN$",_xlfn.XLOOKUP(A441,Prices!A:A,Prices!D:D),IF('Flow Indicator Parts List'!$D$2="US$",_xlfn.XLOOKUP(CurrencyModifier!A441,Prices!A:A,Prices!E:E,"MISSING")))</f>
        <v>5.2869999999999999</v>
      </c>
    </row>
    <row r="442" spans="1:2">
      <c r="A442" t="str">
        <f>Prices!A448</f>
        <v>25123-01</v>
      </c>
      <c r="B442" s="470">
        <f>IF('Flow Indicator Parts List'!$D$2="CDN$",_xlfn.XLOOKUP(A442,Prices!A:A,Prices!D:D),IF('Flow Indicator Parts List'!$D$2="US$",_xlfn.XLOOKUP(CurrencyModifier!A442,Prices!A:A,Prices!E:E,"MISSING")))</f>
        <v>5.2869999999999999</v>
      </c>
    </row>
    <row r="443" spans="1:2">
      <c r="A443" t="str">
        <f>Prices!A449</f>
        <v>25124-01</v>
      </c>
      <c r="B443" s="470">
        <f>IF('Flow Indicator Parts List'!$D$2="CDN$",_xlfn.XLOOKUP(A443,Prices!A:A,Prices!D:D),IF('Flow Indicator Parts List'!$D$2="US$",_xlfn.XLOOKUP(CurrencyModifier!A443,Prices!A:A,Prices!E:E,"MISSING")))</f>
        <v>5.28</v>
      </c>
    </row>
    <row r="444" spans="1:2">
      <c r="A444" t="str">
        <f>Prices!A450</f>
        <v>25125-01</v>
      </c>
      <c r="B444" s="470">
        <f>IF('Flow Indicator Parts List'!$D$2="CDN$",_xlfn.XLOOKUP(A444,Prices!A:A,Prices!D:D),IF('Flow Indicator Parts List'!$D$2="US$",_xlfn.XLOOKUP(CurrencyModifier!A444,Prices!A:A,Prices!E:E,"MISSING")))</f>
        <v>5.28</v>
      </c>
    </row>
    <row r="445" spans="1:2">
      <c r="A445" t="str">
        <f>Prices!A451</f>
        <v>25126-01</v>
      </c>
      <c r="B445" s="470">
        <f>IF('Flow Indicator Parts List'!$D$2="CDN$",_xlfn.XLOOKUP(A445,Prices!A:A,Prices!D:D),IF('Flow Indicator Parts List'!$D$2="US$",_xlfn.XLOOKUP(CurrencyModifier!A445,Prices!A:A,Prices!E:E,"MISSING")))</f>
        <v>2.335</v>
      </c>
    </row>
    <row r="446" spans="1:2">
      <c r="A446" t="str">
        <f>Prices!A452</f>
        <v>25127-01</v>
      </c>
      <c r="B446" s="470">
        <f>IF('Flow Indicator Parts List'!$D$2="CDN$",_xlfn.XLOOKUP(A446,Prices!A:A,Prices!D:D),IF('Flow Indicator Parts List'!$D$2="US$",_xlfn.XLOOKUP(CurrencyModifier!A446,Prices!A:A,Prices!E:E,"MISSING")))</f>
        <v>5.4630000000000001</v>
      </c>
    </row>
    <row r="447" spans="1:2">
      <c r="A447" t="str">
        <f>Prices!A453</f>
        <v>25128-00</v>
      </c>
      <c r="B447" s="470">
        <f>IF('Flow Indicator Parts List'!$D$2="CDN$",_xlfn.XLOOKUP(A447,Prices!A:A,Prices!D:D),IF('Flow Indicator Parts List'!$D$2="US$",_xlfn.XLOOKUP(CurrencyModifier!A447,Prices!A:A,Prices!E:E,"MISSING")))</f>
        <v>9.8219999999999992</v>
      </c>
    </row>
    <row r="448" spans="1:2">
      <c r="A448" t="str">
        <f>Prices!A454</f>
        <v>25129-00</v>
      </c>
      <c r="B448" s="470">
        <f>IF('Flow Indicator Parts List'!$D$2="CDN$",_xlfn.XLOOKUP(A448,Prices!A:A,Prices!D:D),IF('Flow Indicator Parts List'!$D$2="US$",_xlfn.XLOOKUP(CurrencyModifier!A448,Prices!A:A,Prices!E:E,"MISSING")))</f>
        <v>4.7439999999999998</v>
      </c>
    </row>
    <row r="449" spans="1:2">
      <c r="A449" t="str">
        <f>Prices!A455</f>
        <v>25129-01</v>
      </c>
      <c r="B449" s="470">
        <f>IF('Flow Indicator Parts List'!$D$2="CDN$",_xlfn.XLOOKUP(A449,Prices!A:A,Prices!D:D),IF('Flow Indicator Parts List'!$D$2="US$",_xlfn.XLOOKUP(CurrencyModifier!A449,Prices!A:A,Prices!E:E,"MISSING")))</f>
        <v>2.8490000000000002</v>
      </c>
    </row>
    <row r="450" spans="1:2">
      <c r="A450" t="str">
        <f>Prices!A456</f>
        <v>25129-02</v>
      </c>
      <c r="B450" s="470">
        <f>IF('Flow Indicator Parts List'!$D$2="CDN$",_xlfn.XLOOKUP(A450,Prices!A:A,Prices!D:D),IF('Flow Indicator Parts List'!$D$2="US$",_xlfn.XLOOKUP(CurrencyModifier!A450,Prices!A:A,Prices!E:E,"MISSING")))</f>
        <v>1.728</v>
      </c>
    </row>
    <row r="451" spans="1:2">
      <c r="A451" t="str">
        <f>Prices!A457</f>
        <v>25130-00</v>
      </c>
      <c r="B451" s="470">
        <f>IF('Flow Indicator Parts List'!$D$2="CDN$",_xlfn.XLOOKUP(A451,Prices!A:A,Prices!D:D),IF('Flow Indicator Parts List'!$D$2="US$",_xlfn.XLOOKUP(CurrencyModifier!A451,Prices!A:A,Prices!E:E,"MISSING")))</f>
        <v>2.5270000000000001</v>
      </c>
    </row>
    <row r="452" spans="1:2">
      <c r="A452" t="str">
        <f>Prices!A458</f>
        <v>25131-01</v>
      </c>
      <c r="B452" s="470">
        <f>IF('Flow Indicator Parts List'!$D$2="CDN$",_xlfn.XLOOKUP(A452,Prices!A:A,Prices!D:D),IF('Flow Indicator Parts List'!$D$2="US$",_xlfn.XLOOKUP(CurrencyModifier!A452,Prices!A:A,Prices!E:E,"MISSING")))</f>
        <v>2.161</v>
      </c>
    </row>
    <row r="453" spans="1:2">
      <c r="A453" t="str">
        <f>Prices!A459</f>
        <v>25137-00</v>
      </c>
      <c r="B453" s="470">
        <f>IF('Flow Indicator Parts List'!$D$2="CDN$",_xlfn.XLOOKUP(A453,Prices!A:A,Prices!D:D),IF('Flow Indicator Parts List'!$D$2="US$",_xlfn.XLOOKUP(CurrencyModifier!A453,Prices!A:A,Prices!E:E,"MISSING")))</f>
        <v>3.7650000000000001</v>
      </c>
    </row>
    <row r="454" spans="1:2">
      <c r="A454" t="str">
        <f>Prices!A460</f>
        <v>25137-V0</v>
      </c>
      <c r="B454" s="470">
        <f>IF('Flow Indicator Parts List'!$D$2="CDN$",_xlfn.XLOOKUP(A454,Prices!A:A,Prices!D:D),IF('Flow Indicator Parts List'!$D$2="US$",_xlfn.XLOOKUP(CurrencyModifier!A454,Prices!A:A,Prices!E:E,"MISSING")))</f>
        <v>6.3639999999999999</v>
      </c>
    </row>
    <row r="455" spans="1:2">
      <c r="A455" t="str">
        <f>Prices!A461</f>
        <v>25160-01</v>
      </c>
      <c r="B455" s="470">
        <f>IF('Flow Indicator Parts List'!$D$2="CDN$",_xlfn.XLOOKUP(A455,Prices!A:A,Prices!D:D),IF('Flow Indicator Parts List'!$D$2="US$",_xlfn.XLOOKUP(CurrencyModifier!A455,Prices!A:A,Prices!E:E,"MISSING")))</f>
        <v>4.343</v>
      </c>
    </row>
    <row r="456" spans="1:2">
      <c r="A456" t="str">
        <f>Prices!A462</f>
        <v>25160-02</v>
      </c>
      <c r="B456" s="470">
        <f>IF('Flow Indicator Parts List'!$D$2="CDN$",_xlfn.XLOOKUP(A456,Prices!A:A,Prices!D:D),IF('Flow Indicator Parts List'!$D$2="US$",_xlfn.XLOOKUP(CurrencyModifier!A456,Prices!A:A,Prices!E:E,"MISSING")))</f>
        <v>0.81</v>
      </c>
    </row>
    <row r="457" spans="1:2">
      <c r="A457" t="str">
        <f>Prices!A463</f>
        <v>25160-03</v>
      </c>
      <c r="B457" s="470">
        <f>IF('Flow Indicator Parts List'!$D$2="CDN$",_xlfn.XLOOKUP(A457,Prices!A:A,Prices!D:D),IF('Flow Indicator Parts List'!$D$2="US$",_xlfn.XLOOKUP(CurrencyModifier!A457,Prices!A:A,Prices!E:E,"MISSING")))</f>
        <v>3.0110000000000001</v>
      </c>
    </row>
    <row r="458" spans="1:2">
      <c r="A458" t="str">
        <f>Prices!A464</f>
        <v>25160-04</v>
      </c>
      <c r="B458" s="470">
        <f>IF('Flow Indicator Parts List'!$D$2="CDN$",_xlfn.XLOOKUP(A458,Prices!A:A,Prices!D:D),IF('Flow Indicator Parts List'!$D$2="US$",_xlfn.XLOOKUP(CurrencyModifier!A458,Prices!A:A,Prices!E:E,"MISSING")))</f>
        <v>1.7430000000000001</v>
      </c>
    </row>
    <row r="459" spans="1:2">
      <c r="A459" t="str">
        <f>Prices!A465</f>
        <v>25160-V2</v>
      </c>
      <c r="B459" s="470">
        <f>IF('Flow Indicator Parts List'!$D$2="CDN$",_xlfn.XLOOKUP(A459,Prices!A:A,Prices!D:D),IF('Flow Indicator Parts List'!$D$2="US$",_xlfn.XLOOKUP(CurrencyModifier!A459,Prices!A:A,Prices!E:E,"MISSING")))</f>
        <v>2.597</v>
      </c>
    </row>
    <row r="460" spans="1:2">
      <c r="A460" t="str">
        <f>Prices!A466</f>
        <v>25160-V4</v>
      </c>
      <c r="B460" s="470">
        <f>IF('Flow Indicator Parts List'!$D$2="CDN$",_xlfn.XLOOKUP(A460,Prices!A:A,Prices!D:D),IF('Flow Indicator Parts List'!$D$2="US$",_xlfn.XLOOKUP(CurrencyModifier!A460,Prices!A:A,Prices!E:E,"MISSING")))</f>
        <v>3.5089999999999999</v>
      </c>
    </row>
    <row r="461" spans="1:2">
      <c r="A461" t="str">
        <f>Prices!A467</f>
        <v>25161-01</v>
      </c>
      <c r="B461" s="470">
        <f>IF('Flow Indicator Parts List'!$D$2="CDN$",_xlfn.XLOOKUP(A461,Prices!A:A,Prices!D:D),IF('Flow Indicator Parts List'!$D$2="US$",_xlfn.XLOOKUP(CurrencyModifier!A461,Prices!A:A,Prices!E:E,"MISSING")))</f>
        <v>5.8739999999999997</v>
      </c>
    </row>
    <row r="462" spans="1:2">
      <c r="A462" t="str">
        <f>Prices!A468</f>
        <v>25162-01</v>
      </c>
      <c r="B462" s="470">
        <f>IF('Flow Indicator Parts List'!$D$2="CDN$",_xlfn.XLOOKUP(A462,Prices!A:A,Prices!D:D),IF('Flow Indicator Parts List'!$D$2="US$",_xlfn.XLOOKUP(CurrencyModifier!A462,Prices!A:A,Prices!E:E,"MISSING")))</f>
        <v>5.88</v>
      </c>
    </row>
    <row r="463" spans="1:2">
      <c r="A463" t="str">
        <f>Prices!A469</f>
        <v>25163-01</v>
      </c>
      <c r="B463" s="470">
        <f>IF('Flow Indicator Parts List'!$D$2="CDN$",_xlfn.XLOOKUP(A463,Prices!A:A,Prices!D:D),IF('Flow Indicator Parts List'!$D$2="US$",_xlfn.XLOOKUP(CurrencyModifier!A463,Prices!A:A,Prices!E:E,"MISSING")))</f>
        <v>2.4009999999999998</v>
      </c>
    </row>
    <row r="464" spans="1:2">
      <c r="A464" t="str">
        <f>Prices!A470</f>
        <v>25164-01</v>
      </c>
      <c r="B464" s="470">
        <f>IF('Flow Indicator Parts List'!$D$2="CDN$",_xlfn.XLOOKUP(A464,Prices!A:A,Prices!D:D),IF('Flow Indicator Parts List'!$D$2="US$",_xlfn.XLOOKUP(CurrencyModifier!A464,Prices!A:A,Prices!E:E,"MISSING")))</f>
        <v>6.0720000000000001</v>
      </c>
    </row>
    <row r="465" spans="1:2">
      <c r="A465" t="str">
        <f>Prices!A471</f>
        <v>25165-00</v>
      </c>
      <c r="B465" s="470">
        <f>IF('Flow Indicator Parts List'!$D$2="CDN$",_xlfn.XLOOKUP(A465,Prices!A:A,Prices!D:D),IF('Flow Indicator Parts List'!$D$2="US$",_xlfn.XLOOKUP(CurrencyModifier!A465,Prices!A:A,Prices!E:E,"MISSING")))</f>
        <v>0</v>
      </c>
    </row>
    <row r="466" spans="1:2">
      <c r="A466" t="str">
        <f>Prices!A472</f>
        <v>25165-01</v>
      </c>
      <c r="B466" s="470">
        <f>IF('Flow Indicator Parts List'!$D$2="CDN$",_xlfn.XLOOKUP(A466,Prices!A:A,Prices!D:D),IF('Flow Indicator Parts List'!$D$2="US$",_xlfn.XLOOKUP(CurrencyModifier!A466,Prices!A:A,Prices!E:E,"MISSING")))</f>
        <v>2.5960000000000001</v>
      </c>
    </row>
    <row r="467" spans="1:2">
      <c r="A467" t="str">
        <f>Prices!A473</f>
        <v>25166-01</v>
      </c>
      <c r="B467" s="470">
        <f>IF('Flow Indicator Parts List'!$D$2="CDN$",_xlfn.XLOOKUP(A467,Prices!A:A,Prices!D:D),IF('Flow Indicator Parts List'!$D$2="US$",_xlfn.XLOOKUP(CurrencyModifier!A467,Prices!A:A,Prices!E:E,"MISSING")))</f>
        <v>4.343</v>
      </c>
    </row>
    <row r="468" spans="1:2">
      <c r="A468" t="str">
        <f>Prices!A474</f>
        <v>25167-01</v>
      </c>
      <c r="B468" s="470">
        <f>IF('Flow Indicator Parts List'!$D$2="CDN$",_xlfn.XLOOKUP(A468,Prices!A:A,Prices!D:D),IF('Flow Indicator Parts List'!$D$2="US$",_xlfn.XLOOKUP(CurrencyModifier!A468,Prices!A:A,Prices!E:E,"MISSING")))</f>
        <v>5.8739999999999997</v>
      </c>
    </row>
    <row r="469" spans="1:2">
      <c r="A469" t="str">
        <f>Prices!A475</f>
        <v>25168-00</v>
      </c>
      <c r="B469" s="470">
        <f>IF('Flow Indicator Parts List'!$D$2="CDN$",_xlfn.XLOOKUP(A469,Prices!A:A,Prices!D:D),IF('Flow Indicator Parts List'!$D$2="US$",_xlfn.XLOOKUP(CurrencyModifier!A469,Prices!A:A,Prices!E:E,"MISSING")))</f>
        <v>10.914</v>
      </c>
    </row>
    <row r="470" spans="1:2">
      <c r="A470" t="str">
        <f>Prices!A476</f>
        <v>25169-00</v>
      </c>
      <c r="B470" s="470">
        <f>IF('Flow Indicator Parts List'!$D$2="CDN$",_xlfn.XLOOKUP(A470,Prices!A:A,Prices!D:D),IF('Flow Indicator Parts List'!$D$2="US$",_xlfn.XLOOKUP(CurrencyModifier!A470,Prices!A:A,Prices!E:E,"MISSING")))</f>
        <v>10.914</v>
      </c>
    </row>
    <row r="471" spans="1:2">
      <c r="A471" t="str">
        <f>Prices!A477</f>
        <v>25170-00</v>
      </c>
      <c r="B471" s="470">
        <f>IF('Flow Indicator Parts List'!$D$2="CDN$",_xlfn.XLOOKUP(A471,Prices!A:A,Prices!D:D),IF('Flow Indicator Parts List'!$D$2="US$",_xlfn.XLOOKUP(CurrencyModifier!A471,Prices!A:A,Prices!E:E,"MISSING")))</f>
        <v>5.2709999999999999</v>
      </c>
    </row>
    <row r="472" spans="1:2">
      <c r="A472" t="str">
        <f>Prices!A478</f>
        <v>25170-01</v>
      </c>
      <c r="B472" s="470">
        <f>IF('Flow Indicator Parts List'!$D$2="CDN$",_xlfn.XLOOKUP(A472,Prices!A:A,Prices!D:D),IF('Flow Indicator Parts List'!$D$2="US$",_xlfn.XLOOKUP(CurrencyModifier!A472,Prices!A:A,Prices!E:E,"MISSING")))</f>
        <v>3.1659999999999999</v>
      </c>
    </row>
    <row r="473" spans="1:2">
      <c r="A473" t="str">
        <f>Prices!A479</f>
        <v>25170-02</v>
      </c>
      <c r="B473" s="470">
        <f>IF('Flow Indicator Parts List'!$D$2="CDN$",_xlfn.XLOOKUP(A473,Prices!A:A,Prices!D:D),IF('Flow Indicator Parts List'!$D$2="US$",_xlfn.XLOOKUP(CurrencyModifier!A473,Prices!A:A,Prices!E:E,"MISSING")))</f>
        <v>1.92</v>
      </c>
    </row>
    <row r="474" spans="1:2">
      <c r="A474" t="str">
        <f>Prices!A480</f>
        <v>25171-00</v>
      </c>
      <c r="B474" s="470">
        <f>IF('Flow Indicator Parts List'!$D$2="CDN$",_xlfn.XLOOKUP(A474,Prices!A:A,Prices!D:D),IF('Flow Indicator Parts List'!$D$2="US$",_xlfn.XLOOKUP(CurrencyModifier!A474,Prices!A:A,Prices!E:E,"MISSING")))</f>
        <v>2.8069999999999999</v>
      </c>
    </row>
    <row r="475" spans="1:2">
      <c r="A475" t="str">
        <f>Prices!A481</f>
        <v>25172-00</v>
      </c>
      <c r="B475" s="470">
        <f>IF('Flow Indicator Parts List'!$D$2="CDN$",_xlfn.XLOOKUP(A475,Prices!A:A,Prices!D:D),IF('Flow Indicator Parts List'!$D$2="US$",_xlfn.XLOOKUP(CurrencyModifier!A475,Prices!A:A,Prices!E:E,"MISSING")))</f>
        <v>10.914</v>
      </c>
    </row>
    <row r="476" spans="1:2">
      <c r="A476" t="str">
        <f>Prices!A482</f>
        <v>25175-00</v>
      </c>
      <c r="B476" s="470">
        <f>IF('Flow Indicator Parts List'!$D$2="CDN$",_xlfn.XLOOKUP(A476,Prices!A:A,Prices!D:D),IF('Flow Indicator Parts List'!$D$2="US$",_xlfn.XLOOKUP(CurrencyModifier!A476,Prices!A:A,Prices!E:E,"MISSING")))</f>
        <v>27.207000000000001</v>
      </c>
    </row>
    <row r="477" spans="1:2">
      <c r="A477" t="str">
        <f>Prices!A483</f>
        <v>25175-01</v>
      </c>
      <c r="B477" s="470">
        <f>IF('Flow Indicator Parts List'!$D$2="CDN$",_xlfn.XLOOKUP(A477,Prices!A:A,Prices!D:D),IF('Flow Indicator Parts List'!$D$2="US$",_xlfn.XLOOKUP(CurrencyModifier!A477,Prices!A:A,Prices!E:E,"MISSING")))</f>
        <v>8.8309999999999995</v>
      </c>
    </row>
    <row r="478" spans="1:2">
      <c r="A478" t="str">
        <f>Prices!A484</f>
        <v>25175-02</v>
      </c>
      <c r="B478" s="470">
        <f>IF('Flow Indicator Parts List'!$D$2="CDN$",_xlfn.XLOOKUP(A478,Prices!A:A,Prices!D:D),IF('Flow Indicator Parts List'!$D$2="US$",_xlfn.XLOOKUP(CurrencyModifier!A478,Prices!A:A,Prices!E:E,"MISSING")))</f>
        <v>4.0140000000000002</v>
      </c>
    </row>
    <row r="479" spans="1:2">
      <c r="A479" t="str">
        <f>Prices!A485</f>
        <v>25175-03</v>
      </c>
      <c r="B479" s="470">
        <f>IF('Flow Indicator Parts List'!$D$2="CDN$",_xlfn.XLOOKUP(A479,Prices!A:A,Prices!D:D),IF('Flow Indicator Parts List'!$D$2="US$",_xlfn.XLOOKUP(CurrencyModifier!A479,Prices!A:A,Prices!E:E,"MISSING")))</f>
        <v>3.524</v>
      </c>
    </row>
    <row r="480" spans="1:2">
      <c r="A480" t="str">
        <f>Prices!A486</f>
        <v>25175-04</v>
      </c>
      <c r="B480" s="470">
        <f>IF('Flow Indicator Parts List'!$D$2="CDN$",_xlfn.XLOOKUP(A480,Prices!A:A,Prices!D:D),IF('Flow Indicator Parts List'!$D$2="US$",_xlfn.XLOOKUP(CurrencyModifier!A480,Prices!A:A,Prices!E:E,"MISSING")))</f>
        <v>0.56100000000000005</v>
      </c>
    </row>
    <row r="481" spans="1:2">
      <c r="A481" t="str">
        <f>Prices!A487</f>
        <v>25175-05</v>
      </c>
      <c r="B481" s="470">
        <f>IF('Flow Indicator Parts List'!$D$2="CDN$",_xlfn.XLOOKUP(A481,Prices!A:A,Prices!D:D),IF('Flow Indicator Parts List'!$D$2="US$",_xlfn.XLOOKUP(CurrencyModifier!A481,Prices!A:A,Prices!E:E,"MISSING")))</f>
        <v>0.41499999999999998</v>
      </c>
    </row>
    <row r="482" spans="1:2">
      <c r="A482" t="str">
        <f>Prices!A488</f>
        <v>25175-06</v>
      </c>
      <c r="B482" s="470">
        <f>IF('Flow Indicator Parts List'!$D$2="CDN$",_xlfn.XLOOKUP(A482,Prices!A:A,Prices!D:D),IF('Flow Indicator Parts List'!$D$2="US$",_xlfn.XLOOKUP(CurrencyModifier!A482,Prices!A:A,Prices!E:E,"MISSING")))</f>
        <v>0</v>
      </c>
    </row>
    <row r="483" spans="1:2">
      <c r="A483" t="str">
        <f>Prices!A489</f>
        <v>25175-07</v>
      </c>
      <c r="B483" s="470">
        <f>IF('Flow Indicator Parts List'!$D$2="CDN$",_xlfn.XLOOKUP(A483,Prices!A:A,Prices!D:D),IF('Flow Indicator Parts List'!$D$2="US$",_xlfn.XLOOKUP(CurrencyModifier!A483,Prices!A:A,Prices!E:E,"MISSING")))</f>
        <v>0</v>
      </c>
    </row>
    <row r="484" spans="1:2">
      <c r="A484" t="str">
        <f>Prices!A490</f>
        <v>25175-08</v>
      </c>
      <c r="B484" s="470">
        <f>IF('Flow Indicator Parts List'!$D$2="CDN$",_xlfn.XLOOKUP(A484,Prices!A:A,Prices!D:D),IF('Flow Indicator Parts List'!$D$2="US$",_xlfn.XLOOKUP(CurrencyModifier!A484,Prices!A:A,Prices!E:E,"MISSING")))</f>
        <v>1.972</v>
      </c>
    </row>
    <row r="485" spans="1:2">
      <c r="A485" t="str">
        <f>Prices!A491</f>
        <v>25175-09</v>
      </c>
      <c r="B485" s="470">
        <f>IF('Flow Indicator Parts List'!$D$2="CDN$",_xlfn.XLOOKUP(A485,Prices!A:A,Prices!D:D),IF('Flow Indicator Parts List'!$D$2="US$",_xlfn.XLOOKUP(CurrencyModifier!A485,Prices!A:A,Prices!E:E,"MISSING")))</f>
        <v>2.1680000000000001</v>
      </c>
    </row>
    <row r="486" spans="1:2">
      <c r="A486" t="str">
        <f>Prices!A492</f>
        <v>25175-10</v>
      </c>
      <c r="B486" s="470">
        <f>IF('Flow Indicator Parts List'!$D$2="CDN$",_xlfn.XLOOKUP(A486,Prices!A:A,Prices!D:D),IF('Flow Indicator Parts List'!$D$2="US$",_xlfn.XLOOKUP(CurrencyModifier!A486,Prices!A:A,Prices!E:E,"MISSING")))</f>
        <v>1.9339999999999999</v>
      </c>
    </row>
    <row r="487" spans="1:2">
      <c r="A487" t="str">
        <f>Prices!A493</f>
        <v>25175-11</v>
      </c>
      <c r="B487" s="470">
        <f>IF('Flow Indicator Parts List'!$D$2="CDN$",_xlfn.XLOOKUP(A487,Prices!A:A,Prices!D:D),IF('Flow Indicator Parts List'!$D$2="US$",_xlfn.XLOOKUP(CurrencyModifier!A487,Prices!A:A,Prices!E:E,"MISSING")))</f>
        <v>14.510999999999999</v>
      </c>
    </row>
    <row r="488" spans="1:2">
      <c r="A488" t="str">
        <f>Prices!A494</f>
        <v>25175-13</v>
      </c>
      <c r="B488" s="470">
        <f>IF('Flow Indicator Parts List'!$D$2="CDN$",_xlfn.XLOOKUP(A488,Prices!A:A,Prices!D:D),IF('Flow Indicator Parts List'!$D$2="US$",_xlfn.XLOOKUP(CurrencyModifier!A488,Prices!A:A,Prices!E:E,"MISSING")))</f>
        <v>3.5209999999999999</v>
      </c>
    </row>
    <row r="489" spans="1:2">
      <c r="A489" t="str">
        <f>Prices!A495</f>
        <v>25175-LV0</v>
      </c>
      <c r="B489" s="470">
        <f>IF('Flow Indicator Parts List'!$D$2="CDN$",_xlfn.XLOOKUP(A489,Prices!A:A,Prices!D:D),IF('Flow Indicator Parts List'!$D$2="US$",_xlfn.XLOOKUP(CurrencyModifier!A489,Prices!A:A,Prices!E:E,"MISSING")))</f>
        <v>32.402000000000001</v>
      </c>
    </row>
    <row r="490" spans="1:2">
      <c r="A490" t="str">
        <f>Prices!A496</f>
        <v>25175-V0</v>
      </c>
      <c r="B490" s="470">
        <f>IF('Flow Indicator Parts List'!$D$2="CDN$",_xlfn.XLOOKUP(A490,Prices!A:A,Prices!D:D),IF('Flow Indicator Parts List'!$D$2="US$",_xlfn.XLOOKUP(CurrencyModifier!A490,Prices!A:A,Prices!E:E,"MISSING")))</f>
        <v>32.402000000000001</v>
      </c>
    </row>
    <row r="491" spans="1:2">
      <c r="A491" t="str">
        <f>Prices!A497</f>
        <v>25176-LV0</v>
      </c>
      <c r="B491" s="470">
        <f>IF('Flow Indicator Parts List'!$D$2="CDN$",_xlfn.XLOOKUP(A491,Prices!A:A,Prices!D:D),IF('Flow Indicator Parts List'!$D$2="US$",_xlfn.XLOOKUP(CurrencyModifier!A491,Prices!A:A,Prices!E:E,"MISSING")))</f>
        <v>38.442</v>
      </c>
    </row>
    <row r="492" spans="1:2">
      <c r="A492" t="str">
        <f>Prices!A498</f>
        <v>25176-V0</v>
      </c>
      <c r="B492" s="470">
        <f>IF('Flow Indicator Parts List'!$D$2="CDN$",_xlfn.XLOOKUP(A492,Prices!A:A,Prices!D:D),IF('Flow Indicator Parts List'!$D$2="US$",_xlfn.XLOOKUP(CurrencyModifier!A492,Prices!A:A,Prices!E:E,"MISSING")))</f>
        <v>38.442</v>
      </c>
    </row>
    <row r="493" spans="1:2">
      <c r="A493" t="str">
        <f>Prices!A499</f>
        <v>27310-00</v>
      </c>
      <c r="B493" s="470">
        <f>IF('Flow Indicator Parts List'!$D$2="CDN$",_xlfn.XLOOKUP(A493,Prices!A:A,Prices!D:D),IF('Flow Indicator Parts List'!$D$2="US$",_xlfn.XLOOKUP(CurrencyModifier!A493,Prices!A:A,Prices!E:E,"MISSING")))</f>
        <v>11.112</v>
      </c>
    </row>
    <row r="494" spans="1:2">
      <c r="A494" t="str">
        <f>Prices!A500</f>
        <v>27310-01</v>
      </c>
      <c r="B494" s="470">
        <f>IF('Flow Indicator Parts List'!$D$2="CDN$",_xlfn.XLOOKUP(A494,Prices!A:A,Prices!D:D),IF('Flow Indicator Parts List'!$D$2="US$",_xlfn.XLOOKUP(CurrencyModifier!A494,Prices!A:A,Prices!E:E,"MISSING")))</f>
        <v>2.34</v>
      </c>
    </row>
    <row r="495" spans="1:2">
      <c r="A495" t="str">
        <f>Prices!A501</f>
        <v>27310-02</v>
      </c>
      <c r="B495" s="470">
        <f>IF('Flow Indicator Parts List'!$D$2="CDN$",_xlfn.XLOOKUP(A495,Prices!A:A,Prices!D:D),IF('Flow Indicator Parts List'!$D$2="US$",_xlfn.XLOOKUP(CurrencyModifier!A495,Prices!A:A,Prices!E:E,"MISSING")))</f>
        <v>2.34</v>
      </c>
    </row>
    <row r="496" spans="1:2">
      <c r="A496" t="str">
        <f>Prices!A502</f>
        <v>27310-03</v>
      </c>
      <c r="B496" s="470">
        <f>IF('Flow Indicator Parts List'!$D$2="CDN$",_xlfn.XLOOKUP(A496,Prices!A:A,Prices!D:D),IF('Flow Indicator Parts List'!$D$2="US$",_xlfn.XLOOKUP(CurrencyModifier!A496,Prices!A:A,Prices!E:E,"MISSING")))</f>
        <v>1.75</v>
      </c>
    </row>
    <row r="497" spans="1:2">
      <c r="A497" t="str">
        <f>Prices!A503</f>
        <v>27310-05</v>
      </c>
      <c r="B497" s="470">
        <f>IF('Flow Indicator Parts List'!$D$2="CDN$",_xlfn.XLOOKUP(A497,Prices!A:A,Prices!D:D),IF('Flow Indicator Parts List'!$D$2="US$",_xlfn.XLOOKUP(CurrencyModifier!A497,Prices!A:A,Prices!E:E,"MISSING")))</f>
        <v>1.9179999999999999</v>
      </c>
    </row>
    <row r="498" spans="1:2">
      <c r="A498" t="str">
        <f>Prices!A504</f>
        <v>27310-06</v>
      </c>
      <c r="B498" s="470">
        <f>IF('Flow Indicator Parts List'!$D$2="CDN$",_xlfn.XLOOKUP(A498,Prices!A:A,Prices!D:D),IF('Flow Indicator Parts List'!$D$2="US$",_xlfn.XLOOKUP(CurrencyModifier!A498,Prices!A:A,Prices!E:E,"MISSING")))</f>
        <v>1.869</v>
      </c>
    </row>
    <row r="499" spans="1:2">
      <c r="A499" t="str">
        <f>Prices!A505</f>
        <v>27311-00</v>
      </c>
      <c r="B499" s="470">
        <f>IF('Flow Indicator Parts List'!$D$2="CDN$",_xlfn.XLOOKUP(A499,Prices!A:A,Prices!D:D),IF('Flow Indicator Parts List'!$D$2="US$",_xlfn.XLOOKUP(CurrencyModifier!A499,Prices!A:A,Prices!E:E,"MISSING")))</f>
        <v>11.644</v>
      </c>
    </row>
    <row r="500" spans="1:2">
      <c r="A500" t="str">
        <f>Prices!A506</f>
        <v>27311-01</v>
      </c>
      <c r="B500" s="470">
        <f>IF('Flow Indicator Parts List'!$D$2="CDN$",_xlfn.XLOOKUP(A500,Prices!A:A,Prices!D:D),IF('Flow Indicator Parts List'!$D$2="US$",_xlfn.XLOOKUP(CurrencyModifier!A500,Prices!A:A,Prices!E:E,"MISSING")))</f>
        <v>0.98899999999999999</v>
      </c>
    </row>
    <row r="501" spans="1:2">
      <c r="A501" t="str">
        <f>Prices!A507</f>
        <v>27311-02</v>
      </c>
      <c r="B501" s="470">
        <f>IF('Flow Indicator Parts List'!$D$2="CDN$",_xlfn.XLOOKUP(A501,Prices!A:A,Prices!D:D),IF('Flow Indicator Parts List'!$D$2="US$",_xlfn.XLOOKUP(CurrencyModifier!A501,Prices!A:A,Prices!E:E,"MISSING")))</f>
        <v>0.67200000000000004</v>
      </c>
    </row>
    <row r="502" spans="1:2">
      <c r="A502" t="str">
        <f>Prices!A508</f>
        <v>27312-00</v>
      </c>
      <c r="B502" s="470">
        <f>IF('Flow Indicator Parts List'!$D$2="CDN$",_xlfn.XLOOKUP(A502,Prices!A:A,Prices!D:D),IF('Flow Indicator Parts List'!$D$2="US$",_xlfn.XLOOKUP(CurrencyModifier!A502,Prices!A:A,Prices!E:E,"MISSING")))</f>
        <v>12.31</v>
      </c>
    </row>
    <row r="503" spans="1:2">
      <c r="A503" t="str">
        <f>Prices!A509</f>
        <v>27312-01</v>
      </c>
      <c r="B503" s="470">
        <f>IF('Flow Indicator Parts List'!$D$2="CDN$",_xlfn.XLOOKUP(A503,Prices!A:A,Prices!D:D),IF('Flow Indicator Parts List'!$D$2="US$",_xlfn.XLOOKUP(CurrencyModifier!A503,Prices!A:A,Prices!E:E,"MISSING")))</f>
        <v>2.4209999999999998</v>
      </c>
    </row>
    <row r="504" spans="1:2">
      <c r="A504" t="str">
        <f>Prices!A510</f>
        <v>27312-02</v>
      </c>
      <c r="B504" s="470">
        <f>IF('Flow Indicator Parts List'!$D$2="CDN$",_xlfn.XLOOKUP(A504,Prices!A:A,Prices!D:D),IF('Flow Indicator Parts List'!$D$2="US$",_xlfn.XLOOKUP(CurrencyModifier!A504,Prices!A:A,Prices!E:E,"MISSING")))</f>
        <v>2.4209999999999998</v>
      </c>
    </row>
    <row r="505" spans="1:2">
      <c r="A505" t="str">
        <f>Prices!A511</f>
        <v>27313-00</v>
      </c>
      <c r="B505" s="470">
        <f>IF('Flow Indicator Parts List'!$D$2="CDN$",_xlfn.XLOOKUP(A505,Prices!A:A,Prices!D:D),IF('Flow Indicator Parts List'!$D$2="US$",_xlfn.XLOOKUP(CurrencyModifier!A505,Prices!A:A,Prices!E:E,"MISSING")))</f>
        <v>4.9809999999999999</v>
      </c>
    </row>
    <row r="506" spans="1:2">
      <c r="A506" t="str">
        <f>Prices!A512</f>
        <v>27313-01</v>
      </c>
      <c r="B506" s="470">
        <f>IF('Flow Indicator Parts List'!$D$2="CDN$",_xlfn.XLOOKUP(A506,Prices!A:A,Prices!D:D),IF('Flow Indicator Parts List'!$D$2="US$",_xlfn.XLOOKUP(CurrencyModifier!A506,Prices!A:A,Prices!E:E,"MISSING")))</f>
        <v>1.613</v>
      </c>
    </row>
    <row r="507" spans="1:2">
      <c r="A507" t="str">
        <f>Prices!A513</f>
        <v>27315-00</v>
      </c>
      <c r="B507" s="470">
        <f>IF('Flow Indicator Parts List'!$D$2="CDN$",_xlfn.XLOOKUP(A507,Prices!A:A,Prices!D:D),IF('Flow Indicator Parts List'!$D$2="US$",_xlfn.XLOOKUP(CurrencyModifier!A507,Prices!A:A,Prices!E:E,"MISSING")))</f>
        <v>8.3230000000000004</v>
      </c>
    </row>
    <row r="508" spans="1:2">
      <c r="A508" t="str">
        <f>Prices!A514</f>
        <v>27316-00</v>
      </c>
      <c r="B508" s="470">
        <f>IF('Flow Indicator Parts List'!$D$2="CDN$",_xlfn.XLOOKUP(A508,Prices!A:A,Prices!D:D),IF('Flow Indicator Parts List'!$D$2="US$",_xlfn.XLOOKUP(CurrencyModifier!A508,Prices!A:A,Prices!E:E,"MISSING")))</f>
        <v>8.5779999999999994</v>
      </c>
    </row>
    <row r="509" spans="1:2">
      <c r="A509" t="str">
        <f>Prices!A515</f>
        <v>27317-00</v>
      </c>
      <c r="B509" s="470">
        <f>IF('Flow Indicator Parts List'!$D$2="CDN$",_xlfn.XLOOKUP(A509,Prices!A:A,Prices!D:D),IF('Flow Indicator Parts List'!$D$2="US$",_xlfn.XLOOKUP(CurrencyModifier!A509,Prices!A:A,Prices!E:E,"MISSING")))</f>
        <v>8.0020000000000007</v>
      </c>
    </row>
    <row r="510" spans="1:2">
      <c r="A510" t="str">
        <f>Prices!A516</f>
        <v>27318-00</v>
      </c>
      <c r="B510" s="470">
        <f>IF('Flow Indicator Parts List'!$D$2="CDN$",_xlfn.XLOOKUP(A510,Prices!A:A,Prices!D:D),IF('Flow Indicator Parts List'!$D$2="US$",_xlfn.XLOOKUP(CurrencyModifier!A510,Prices!A:A,Prices!E:E,"MISSING")))</f>
        <v>8.5830000000000002</v>
      </c>
    </row>
    <row r="511" spans="1:2">
      <c r="A511" t="str">
        <f>Prices!A517</f>
        <v>27319-00</v>
      </c>
      <c r="B511" s="470">
        <f>IF('Flow Indicator Parts List'!$D$2="CDN$",_xlfn.XLOOKUP(A511,Prices!A:A,Prices!D:D),IF('Flow Indicator Parts List'!$D$2="US$",_xlfn.XLOOKUP(CurrencyModifier!A511,Prices!A:A,Prices!E:E,"MISSING")))</f>
        <v>8.5830000000000002</v>
      </c>
    </row>
    <row r="512" spans="1:2">
      <c r="A512" t="str">
        <f>Prices!A518</f>
        <v>27321-00</v>
      </c>
      <c r="B512" s="470">
        <f>IF('Flow Indicator Parts List'!$D$2="CDN$",_xlfn.XLOOKUP(A512,Prices!A:A,Prices!D:D),IF('Flow Indicator Parts List'!$D$2="US$",_xlfn.XLOOKUP(CurrencyModifier!A512,Prices!A:A,Prices!E:E,"MISSING")))</f>
        <v>9.0980000000000008</v>
      </c>
    </row>
    <row r="513" spans="1:2">
      <c r="A513" t="str">
        <f>Prices!A519</f>
        <v>27322-00</v>
      </c>
      <c r="B513" s="470">
        <f>IF('Flow Indicator Parts List'!$D$2="CDN$",_xlfn.XLOOKUP(A513,Prices!A:A,Prices!D:D),IF('Flow Indicator Parts List'!$D$2="US$",_xlfn.XLOOKUP(CurrencyModifier!A513,Prices!A:A,Prices!E:E,"MISSING")))</f>
        <v>9.0980000000000008</v>
      </c>
    </row>
    <row r="514" spans="1:2">
      <c r="A514" t="str">
        <f>Prices!A520</f>
        <v>27323-00</v>
      </c>
      <c r="B514" s="470">
        <f>IF('Flow Indicator Parts List'!$D$2="CDN$",_xlfn.XLOOKUP(A514,Prices!A:A,Prices!D:D),IF('Flow Indicator Parts List'!$D$2="US$",_xlfn.XLOOKUP(CurrencyModifier!A514,Prices!A:A,Prices!E:E,"MISSING")))</f>
        <v>8.25</v>
      </c>
    </row>
    <row r="515" spans="1:2">
      <c r="A515" t="str">
        <f>Prices!A521</f>
        <v>27324-00</v>
      </c>
      <c r="B515" s="470">
        <f>IF('Flow Indicator Parts List'!$D$2="CDN$",_xlfn.XLOOKUP(A515,Prices!A:A,Prices!D:D),IF('Flow Indicator Parts List'!$D$2="US$",_xlfn.XLOOKUP(CurrencyModifier!A515,Prices!A:A,Prices!E:E,"MISSING")))</f>
        <v>8.5380000000000003</v>
      </c>
    </row>
    <row r="516" spans="1:2">
      <c r="A516" t="str">
        <f>Prices!A522</f>
        <v>27326-00</v>
      </c>
      <c r="B516" s="470">
        <f>IF('Flow Indicator Parts List'!$D$2="CDN$",_xlfn.XLOOKUP(A516,Prices!A:A,Prices!D:D),IF('Flow Indicator Parts List'!$D$2="US$",_xlfn.XLOOKUP(CurrencyModifier!A516,Prices!A:A,Prices!E:E,"MISSING")))</f>
        <v>8.5380000000000003</v>
      </c>
    </row>
    <row r="517" spans="1:2">
      <c r="A517" t="str">
        <f>Prices!A523</f>
        <v>27331-00</v>
      </c>
      <c r="B517" s="470">
        <f>IF('Flow Indicator Parts List'!$D$2="CDN$",_xlfn.XLOOKUP(A517,Prices!A:A,Prices!D:D),IF('Flow Indicator Parts List'!$D$2="US$",_xlfn.XLOOKUP(CurrencyModifier!A517,Prices!A:A,Prices!E:E,"MISSING")))</f>
        <v>3.823</v>
      </c>
    </row>
    <row r="518" spans="1:2">
      <c r="A518" t="str">
        <f>Prices!A524</f>
        <v>27332-00</v>
      </c>
      <c r="B518" s="470">
        <f>IF('Flow Indicator Parts List'!$D$2="CDN$",_xlfn.XLOOKUP(A518,Prices!A:A,Prices!D:D),IF('Flow Indicator Parts List'!$D$2="US$",_xlfn.XLOOKUP(CurrencyModifier!A518,Prices!A:A,Prices!E:E,"MISSING")))</f>
        <v>4.5890000000000004</v>
      </c>
    </row>
    <row r="519" spans="1:2">
      <c r="A519" t="str">
        <f>Prices!A525</f>
        <v>27333-00</v>
      </c>
      <c r="B519" s="470">
        <f>IF('Flow Indicator Parts List'!$D$2="CDN$",_xlfn.XLOOKUP(A519,Prices!A:A,Prices!D:D),IF('Flow Indicator Parts List'!$D$2="US$",_xlfn.XLOOKUP(CurrencyModifier!A519,Prices!A:A,Prices!E:E,"MISSING")))</f>
        <v>4.5890000000000004</v>
      </c>
    </row>
    <row r="520" spans="1:2">
      <c r="A520" t="str">
        <f>Prices!A526</f>
        <v>27341-00</v>
      </c>
      <c r="B520" s="470">
        <f>IF('Flow Indicator Parts List'!$D$2="CDN$",_xlfn.XLOOKUP(A520,Prices!A:A,Prices!D:D),IF('Flow Indicator Parts List'!$D$2="US$",_xlfn.XLOOKUP(CurrencyModifier!A520,Prices!A:A,Prices!E:E,"MISSING")))</f>
        <v>3.823</v>
      </c>
    </row>
    <row r="521" spans="1:2">
      <c r="A521" t="str">
        <f>Prices!A527</f>
        <v>27342-00</v>
      </c>
      <c r="B521" s="470">
        <f>IF('Flow Indicator Parts List'!$D$2="CDN$",_xlfn.XLOOKUP(A521,Prices!A:A,Prices!D:D),IF('Flow Indicator Parts List'!$D$2="US$",_xlfn.XLOOKUP(CurrencyModifier!A521,Prices!A:A,Prices!E:E,"MISSING")))</f>
        <v>4.5890000000000004</v>
      </c>
    </row>
    <row r="522" spans="1:2">
      <c r="A522" t="str">
        <f>Prices!A528</f>
        <v>27343-00</v>
      </c>
      <c r="B522" s="470">
        <f>IF('Flow Indicator Parts List'!$D$2="CDN$",_xlfn.XLOOKUP(A522,Prices!A:A,Prices!D:D),IF('Flow Indicator Parts List'!$D$2="US$",_xlfn.XLOOKUP(CurrencyModifier!A522,Prices!A:A,Prices!E:E,"MISSING")))</f>
        <v>4.5890000000000004</v>
      </c>
    </row>
    <row r="523" spans="1:2">
      <c r="A523" t="str">
        <f>Prices!A529</f>
        <v>27351-00</v>
      </c>
      <c r="B523" s="470">
        <f>IF('Flow Indicator Parts List'!$D$2="CDN$",_xlfn.XLOOKUP(A523,Prices!A:A,Prices!D:D),IF('Flow Indicator Parts List'!$D$2="US$",_xlfn.XLOOKUP(CurrencyModifier!A523,Prices!A:A,Prices!E:E,"MISSING")))</f>
        <v>4.2859999999999996</v>
      </c>
    </row>
    <row r="524" spans="1:2">
      <c r="A524" t="str">
        <f>Prices!A530</f>
        <v>27352-00</v>
      </c>
      <c r="B524" s="470">
        <f>IF('Flow Indicator Parts List'!$D$2="CDN$",_xlfn.XLOOKUP(A524,Prices!A:A,Prices!D:D),IF('Flow Indicator Parts List'!$D$2="US$",_xlfn.XLOOKUP(CurrencyModifier!A524,Prices!A:A,Prices!E:E,"MISSING")))</f>
        <v>4.2859999999999996</v>
      </c>
    </row>
    <row r="525" spans="1:2">
      <c r="A525" t="str">
        <f>Prices!A531</f>
        <v>27353-00</v>
      </c>
      <c r="B525" s="470">
        <f>IF('Flow Indicator Parts List'!$D$2="CDN$",_xlfn.XLOOKUP(A525,Prices!A:A,Prices!D:D),IF('Flow Indicator Parts List'!$D$2="US$",_xlfn.XLOOKUP(CurrencyModifier!A525,Prices!A:A,Prices!E:E,"MISSING")))</f>
        <v>3.8620000000000001</v>
      </c>
    </row>
    <row r="526" spans="1:2">
      <c r="A526" t="str">
        <f>Prices!A532</f>
        <v>27356-V0</v>
      </c>
      <c r="B526" s="470">
        <f>IF('Flow Indicator Parts List'!$D$2="CDN$",_xlfn.XLOOKUP(A526,Prices!A:A,Prices!D:D),IF('Flow Indicator Parts List'!$D$2="US$",_xlfn.XLOOKUP(CurrencyModifier!A526,Prices!A:A,Prices!E:E,"MISSING")))</f>
        <v>37.497999999999998</v>
      </c>
    </row>
    <row r="527" spans="1:2">
      <c r="A527" t="str">
        <f>Prices!A533</f>
        <v>27356-LV0</v>
      </c>
      <c r="B527" s="470">
        <f>IF('Flow Indicator Parts List'!$D$2="CDN$",_xlfn.XLOOKUP(A527,Prices!A:A,Prices!D:D),IF('Flow Indicator Parts List'!$D$2="US$",_xlfn.XLOOKUP(CurrencyModifier!A527,Prices!A:A,Prices!E:E,"MISSING")))</f>
        <v>37.497999999999998</v>
      </c>
    </row>
    <row r="528" spans="1:2">
      <c r="A528" t="str">
        <f>Prices!A534</f>
        <v>27357-00</v>
      </c>
      <c r="B528" s="470">
        <f>IF('Flow Indicator Parts List'!$D$2="CDN$",_xlfn.XLOOKUP(A528,Prices!A:A,Prices!D:D),IF('Flow Indicator Parts List'!$D$2="US$",_xlfn.XLOOKUP(CurrencyModifier!A528,Prices!A:A,Prices!E:E,"MISSING")))</f>
        <v>4.2859999999999996</v>
      </c>
    </row>
    <row r="529" spans="1:2">
      <c r="A529" t="str">
        <f>Prices!A535</f>
        <v>27358-00</v>
      </c>
      <c r="B529" s="470">
        <f>IF('Flow Indicator Parts List'!$D$2="CDN$",_xlfn.XLOOKUP(A529,Prices!A:A,Prices!D:D),IF('Flow Indicator Parts List'!$D$2="US$",_xlfn.XLOOKUP(CurrencyModifier!A529,Prices!A:A,Prices!E:E,"MISSING")))</f>
        <v>4.2859999999999996</v>
      </c>
    </row>
    <row r="530" spans="1:2">
      <c r="A530" t="str">
        <f>Prices!A536</f>
        <v>27359-00</v>
      </c>
      <c r="B530" s="470">
        <f>IF('Flow Indicator Parts List'!$D$2="CDN$",_xlfn.XLOOKUP(A530,Prices!A:A,Prices!D:D),IF('Flow Indicator Parts List'!$D$2="US$",_xlfn.XLOOKUP(CurrencyModifier!A530,Prices!A:A,Prices!E:E,"MISSING")))</f>
        <v>4.2859999999999996</v>
      </c>
    </row>
    <row r="531" spans="1:2">
      <c r="A531" t="str">
        <f>Prices!A537</f>
        <v>27360-00</v>
      </c>
      <c r="B531" s="470">
        <f>IF('Flow Indicator Parts List'!$D$2="CDN$",_xlfn.XLOOKUP(A531,Prices!A:A,Prices!D:D),IF('Flow Indicator Parts List'!$D$2="US$",_xlfn.XLOOKUP(CurrencyModifier!A531,Prices!A:A,Prices!E:E,"MISSING")))</f>
        <v>55.192999999999998</v>
      </c>
    </row>
    <row r="532" spans="1:2">
      <c r="A532" t="str">
        <f>Prices!A538</f>
        <v>27360-02</v>
      </c>
      <c r="B532" s="470">
        <f>IF('Flow Indicator Parts List'!$D$2="CDN$",_xlfn.XLOOKUP(A532,Prices!A:A,Prices!D:D),IF('Flow Indicator Parts List'!$D$2="US$",_xlfn.XLOOKUP(CurrencyModifier!A532,Prices!A:A,Prices!E:E,"MISSING")))</f>
        <v>13.228999999999999</v>
      </c>
    </row>
    <row r="533" spans="1:2">
      <c r="A533" t="str">
        <f>Prices!A539</f>
        <v>27360-03</v>
      </c>
      <c r="B533" s="470">
        <f>IF('Flow Indicator Parts List'!$D$2="CDN$",_xlfn.XLOOKUP(A533,Prices!A:A,Prices!D:D),IF('Flow Indicator Parts List'!$D$2="US$",_xlfn.XLOOKUP(CurrencyModifier!A533,Prices!A:A,Prices!E:E,"MISSING")))</f>
        <v>2.3340000000000001</v>
      </c>
    </row>
    <row r="534" spans="1:2">
      <c r="A534" t="str">
        <f>Prices!A540</f>
        <v>27361-00</v>
      </c>
      <c r="B534" s="470">
        <f>IF('Flow Indicator Parts List'!$D$2="CDN$",_xlfn.XLOOKUP(A534,Prices!A:A,Prices!D:D),IF('Flow Indicator Parts List'!$D$2="US$",_xlfn.XLOOKUP(CurrencyModifier!A534,Prices!A:A,Prices!E:E,"MISSING")))</f>
        <v>65.344999999999999</v>
      </c>
    </row>
    <row r="535" spans="1:2">
      <c r="A535" t="str">
        <f>Prices!A541</f>
        <v>27362-00</v>
      </c>
      <c r="B535" s="470">
        <f>IF('Flow Indicator Parts List'!$D$2="CDN$",_xlfn.XLOOKUP(A535,Prices!A:A,Prices!D:D),IF('Flow Indicator Parts List'!$D$2="US$",_xlfn.XLOOKUP(CurrencyModifier!A535,Prices!A:A,Prices!E:E,"MISSING")))</f>
        <v>93.641000000000005</v>
      </c>
    </row>
    <row r="536" spans="1:2">
      <c r="A536" t="str">
        <f>Prices!A542</f>
        <v>27362-WN</v>
      </c>
      <c r="B536" s="470">
        <f>IF('Flow Indicator Parts List'!$D$2="CDN$",_xlfn.XLOOKUP(A536,Prices!A:A,Prices!D:D),IF('Flow Indicator Parts List'!$D$2="US$",_xlfn.XLOOKUP(CurrencyModifier!A536,Prices!A:A,Prices!E:E,"MISSING")))</f>
        <v>93.087000000000003</v>
      </c>
    </row>
    <row r="537" spans="1:2">
      <c r="A537" t="str">
        <f>Prices!A543</f>
        <v>27371-00</v>
      </c>
      <c r="B537" s="470">
        <f>IF('Flow Indicator Parts List'!$D$2="CDN$",_xlfn.XLOOKUP(A537,Prices!A:A,Prices!D:D),IF('Flow Indicator Parts List'!$D$2="US$",_xlfn.XLOOKUP(CurrencyModifier!A537,Prices!A:A,Prices!E:E,"MISSING")))</f>
        <v>9.0990000000000002</v>
      </c>
    </row>
    <row r="538" spans="1:2">
      <c r="A538" t="str">
        <f>Prices!A544</f>
        <v>27372-00</v>
      </c>
      <c r="B538" s="470">
        <f>IF('Flow Indicator Parts List'!$D$2="CDN$",_xlfn.XLOOKUP(A538,Prices!A:A,Prices!D:D),IF('Flow Indicator Parts List'!$D$2="US$",_xlfn.XLOOKUP(CurrencyModifier!A538,Prices!A:A,Prices!E:E,"MISSING")))</f>
        <v>9.0990000000000002</v>
      </c>
    </row>
    <row r="539" spans="1:2">
      <c r="A539" t="str">
        <f>Prices!A545</f>
        <v>27373-00</v>
      </c>
      <c r="B539" s="470">
        <f>IF('Flow Indicator Parts List'!$D$2="CDN$",_xlfn.XLOOKUP(A539,Prices!A:A,Prices!D:D),IF('Flow Indicator Parts List'!$D$2="US$",_xlfn.XLOOKUP(CurrencyModifier!A539,Prices!A:A,Prices!E:E,"MISSING")))</f>
        <v>8.2509999999999994</v>
      </c>
    </row>
    <row r="540" spans="1:2">
      <c r="A540" t="str">
        <f>Prices!A546</f>
        <v>27381-00</v>
      </c>
      <c r="B540" s="470" t="e">
        <f>IF('Flow Indicator Parts List'!$D$2="CDN$",_xlfn.XLOOKUP(A540,Prices!A:A,Prices!D:D),IF('Flow Indicator Parts List'!$D$2="US$",_xlfn.XLOOKUP(CurrencyModifier!A540,Prices!A:A,Prices!E:E,"MISSING")))</f>
        <v>#VALUE!</v>
      </c>
    </row>
    <row r="541" spans="1:2">
      <c r="A541" t="str">
        <f>Prices!A547</f>
        <v>27381-01</v>
      </c>
      <c r="B541" s="470" t="e">
        <f>IF('Flow Indicator Parts List'!$D$2="CDN$",_xlfn.XLOOKUP(A541,Prices!A:A,Prices!D:D),IF('Flow Indicator Parts List'!$D$2="US$",_xlfn.XLOOKUP(CurrencyModifier!A541,Prices!A:A,Prices!E:E,"MISSING")))</f>
        <v>#VALUE!</v>
      </c>
    </row>
    <row r="542" spans="1:2">
      <c r="A542" t="str">
        <f>Prices!A548</f>
        <v>27381-02</v>
      </c>
      <c r="B542" s="470" t="e">
        <f>IF('Flow Indicator Parts List'!$D$2="CDN$",_xlfn.XLOOKUP(A542,Prices!A:A,Prices!D:D),IF('Flow Indicator Parts List'!$D$2="US$",_xlfn.XLOOKUP(CurrencyModifier!A542,Prices!A:A,Prices!E:E,"MISSING")))</f>
        <v>#VALUE!</v>
      </c>
    </row>
    <row r="543" spans="1:2">
      <c r="A543" t="str">
        <f>Prices!A549</f>
        <v>27381-03</v>
      </c>
      <c r="B543" s="470" t="e">
        <f>IF('Flow Indicator Parts List'!$D$2="CDN$",_xlfn.XLOOKUP(A543,Prices!A:A,Prices!D:D),IF('Flow Indicator Parts List'!$D$2="US$",_xlfn.XLOOKUP(CurrencyModifier!A543,Prices!A:A,Prices!E:E,"MISSING")))</f>
        <v>#VALUE!</v>
      </c>
    </row>
    <row r="544" spans="1:2">
      <c r="A544" t="str">
        <f>Prices!A550</f>
        <v>27381-04</v>
      </c>
      <c r="B544" s="470" t="e">
        <f>IF('Flow Indicator Parts List'!$D$2="CDN$",_xlfn.XLOOKUP(A544,Prices!A:A,Prices!D:D),IF('Flow Indicator Parts List'!$D$2="US$",_xlfn.XLOOKUP(CurrencyModifier!A544,Prices!A:A,Prices!E:E,"MISSING")))</f>
        <v>#VALUE!</v>
      </c>
    </row>
    <row r="545" spans="1:2">
      <c r="A545" t="str">
        <f>Prices!A551</f>
        <v>27381-05</v>
      </c>
      <c r="B545" s="470" t="e">
        <f>IF('Flow Indicator Parts List'!$D$2="CDN$",_xlfn.XLOOKUP(A545,Prices!A:A,Prices!D:D),IF('Flow Indicator Parts List'!$D$2="US$",_xlfn.XLOOKUP(CurrencyModifier!A545,Prices!A:A,Prices!E:E,"MISSING")))</f>
        <v>#VALUE!</v>
      </c>
    </row>
    <row r="546" spans="1:2">
      <c r="A546" t="str">
        <f>Prices!A552</f>
        <v>27382-00</v>
      </c>
      <c r="B546" s="470" t="e">
        <f>IF('Flow Indicator Parts List'!$D$2="CDN$",_xlfn.XLOOKUP(A546,Prices!A:A,Prices!D:D),IF('Flow Indicator Parts List'!$D$2="US$",_xlfn.XLOOKUP(CurrencyModifier!A546,Prices!A:A,Prices!E:E,"MISSING")))</f>
        <v>#VALUE!</v>
      </c>
    </row>
    <row r="547" spans="1:2">
      <c r="A547" t="str">
        <f>Prices!A553</f>
        <v>27382-01</v>
      </c>
      <c r="B547" s="470" t="e">
        <f>IF('Flow Indicator Parts List'!$D$2="CDN$",_xlfn.XLOOKUP(A547,Prices!A:A,Prices!D:D),IF('Flow Indicator Parts List'!$D$2="US$",_xlfn.XLOOKUP(CurrencyModifier!A547,Prices!A:A,Prices!E:E,"MISSING")))</f>
        <v>#VALUE!</v>
      </c>
    </row>
    <row r="548" spans="1:2">
      <c r="A548" t="str">
        <f>Prices!A554</f>
        <v>27382-02</v>
      </c>
      <c r="B548" s="470" t="e">
        <f>IF('Flow Indicator Parts List'!$D$2="CDN$",_xlfn.XLOOKUP(A548,Prices!A:A,Prices!D:D),IF('Flow Indicator Parts List'!$D$2="US$",_xlfn.XLOOKUP(CurrencyModifier!A548,Prices!A:A,Prices!E:E,"MISSING")))</f>
        <v>#VALUE!</v>
      </c>
    </row>
    <row r="549" spans="1:2">
      <c r="A549" t="str">
        <f>Prices!A555</f>
        <v>27383-00</v>
      </c>
      <c r="B549" s="470" t="e">
        <f>IF('Flow Indicator Parts List'!$D$2="CDN$",_xlfn.XLOOKUP(A549,Prices!A:A,Prices!D:D),IF('Flow Indicator Parts List'!$D$2="US$",_xlfn.XLOOKUP(CurrencyModifier!A549,Prices!A:A,Prices!E:E,"MISSING")))</f>
        <v>#VALUE!</v>
      </c>
    </row>
    <row r="550" spans="1:2">
      <c r="A550" t="str">
        <f>Prices!A556</f>
        <v>27383-01</v>
      </c>
      <c r="B550" s="470" t="e">
        <f>IF('Flow Indicator Parts List'!$D$2="CDN$",_xlfn.XLOOKUP(A550,Prices!A:A,Prices!D:D),IF('Flow Indicator Parts List'!$D$2="US$",_xlfn.XLOOKUP(CurrencyModifier!A550,Prices!A:A,Prices!E:E,"MISSING")))</f>
        <v>#VALUE!</v>
      </c>
    </row>
    <row r="551" spans="1:2">
      <c r="A551" t="str">
        <f>Prices!A557</f>
        <v>27384-00</v>
      </c>
      <c r="B551" s="470" t="e">
        <f>IF('Flow Indicator Parts List'!$D$2="CDN$",_xlfn.XLOOKUP(A551,Prices!A:A,Prices!D:D),IF('Flow Indicator Parts List'!$D$2="US$",_xlfn.XLOOKUP(CurrencyModifier!A551,Prices!A:A,Prices!E:E,"MISSING")))</f>
        <v>#VALUE!</v>
      </c>
    </row>
    <row r="552" spans="1:2">
      <c r="A552" t="str">
        <f>Prices!A558</f>
        <v>30274-00</v>
      </c>
      <c r="B552" s="470">
        <f>IF('Flow Indicator Parts List'!$D$2="CDN$",_xlfn.XLOOKUP(A552,Prices!A:A,Prices!D:D),IF('Flow Indicator Parts List'!$D$2="US$",_xlfn.XLOOKUP(CurrencyModifier!A552,Prices!A:A,Prices!E:E,"MISSING")))</f>
        <v>6.6219999999999999</v>
      </c>
    </row>
    <row r="553" spans="1:2">
      <c r="A553" t="str">
        <f>Prices!A559</f>
        <v>40100-015</v>
      </c>
      <c r="B553" s="470">
        <f>IF('Flow Indicator Parts List'!$D$2="CDN$",_xlfn.XLOOKUP(A553,Prices!A:A,Prices!D:D),IF('Flow Indicator Parts List'!$D$2="US$",_xlfn.XLOOKUP(CurrencyModifier!A553,Prices!A:A,Prices!E:E,"MISSING")))</f>
        <v>0</v>
      </c>
    </row>
    <row r="554" spans="1:2">
      <c r="A554" t="str">
        <f>Prices!A560</f>
        <v>40116-00</v>
      </c>
      <c r="B554" s="470">
        <f>IF('Flow Indicator Parts List'!$D$2="CDN$",_xlfn.XLOOKUP(A554,Prices!A:A,Prices!D:D),IF('Flow Indicator Parts List'!$D$2="US$",_xlfn.XLOOKUP(CurrencyModifier!A554,Prices!A:A,Prices!E:E,"MISSING")))</f>
        <v>10.265000000000001</v>
      </c>
    </row>
    <row r="555" spans="1:2">
      <c r="A555" t="str">
        <f>Prices!A561</f>
        <v>40116-01</v>
      </c>
      <c r="B555" s="470">
        <f>IF('Flow Indicator Parts List'!$D$2="CDN$",_xlfn.XLOOKUP(A555,Prices!A:A,Prices!D:D),IF('Flow Indicator Parts List'!$D$2="US$",_xlfn.XLOOKUP(CurrencyModifier!A555,Prices!A:A,Prices!E:E,"MISSING")))</f>
        <v>8.5809999999999995</v>
      </c>
    </row>
    <row r="556" spans="1:2">
      <c r="A556" t="str">
        <f>Prices!A562</f>
        <v>40116-P15</v>
      </c>
      <c r="B556" s="470">
        <f>IF('Flow Indicator Parts List'!$D$2="CDN$",_xlfn.XLOOKUP(A556,Prices!A:A,Prices!D:D),IF('Flow Indicator Parts List'!$D$2="US$",_xlfn.XLOOKUP(CurrencyModifier!A556,Prices!A:A,Prices!E:E,"MISSING")))</f>
        <v>10.265000000000001</v>
      </c>
    </row>
    <row r="557" spans="1:2">
      <c r="A557" t="str">
        <f>Prices!A563</f>
        <v>40117-00</v>
      </c>
      <c r="B557" s="470">
        <f>IF('Flow Indicator Parts List'!$D$2="CDN$",_xlfn.XLOOKUP(A557,Prices!A:A,Prices!D:D),IF('Flow Indicator Parts List'!$D$2="US$",_xlfn.XLOOKUP(CurrencyModifier!A557,Prices!A:A,Prices!E:E,"MISSING")))</f>
        <v>26.44</v>
      </c>
    </row>
    <row r="558" spans="1:2">
      <c r="A558" t="str">
        <f>Prices!A564</f>
        <v>40117-P15</v>
      </c>
      <c r="B558" s="470">
        <f>IF('Flow Indicator Parts List'!$D$2="CDN$",_xlfn.XLOOKUP(A558,Prices!A:A,Prices!D:D),IF('Flow Indicator Parts List'!$D$2="US$",_xlfn.XLOOKUP(CurrencyModifier!A558,Prices!A:A,Prices!E:E,"MISSING")))</f>
        <v>26.44</v>
      </c>
    </row>
    <row r="559" spans="1:2">
      <c r="A559" t="str">
        <f>Prices!A565</f>
        <v>40118-00</v>
      </c>
      <c r="B559" s="470">
        <f>IF('Flow Indicator Parts List'!$D$2="CDN$",_xlfn.XLOOKUP(A559,Prices!A:A,Prices!D:D),IF('Flow Indicator Parts List'!$D$2="US$",_xlfn.XLOOKUP(CurrencyModifier!A559,Prices!A:A,Prices!E:E,"MISSING")))</f>
        <v>32.533000000000001</v>
      </c>
    </row>
    <row r="560" spans="1:2">
      <c r="A560" t="str">
        <f>Prices!A566</f>
        <v>40118-P15</v>
      </c>
      <c r="B560" s="470">
        <f>IF('Flow Indicator Parts List'!$D$2="CDN$",_xlfn.XLOOKUP(A560,Prices!A:A,Prices!D:D),IF('Flow Indicator Parts List'!$D$2="US$",_xlfn.XLOOKUP(CurrencyModifier!A560,Prices!A:A,Prices!E:E,"MISSING")))</f>
        <v>32.533000000000001</v>
      </c>
    </row>
    <row r="561" spans="1:2">
      <c r="A561" t="str">
        <f>Prices!A567</f>
        <v>40140-00</v>
      </c>
      <c r="B561" s="470">
        <f>IF('Flow Indicator Parts List'!$D$2="CDN$",_xlfn.XLOOKUP(A561,Prices!A:A,Prices!D:D),IF('Flow Indicator Parts List'!$D$2="US$",_xlfn.XLOOKUP(CurrencyModifier!A561,Prices!A:A,Prices!E:E,"MISSING")))</f>
        <v>5.1159999999999997</v>
      </c>
    </row>
    <row r="562" spans="1:2">
      <c r="A562" t="str">
        <f>Prices!A568</f>
        <v>40140-01</v>
      </c>
      <c r="B562" s="470">
        <f>IF('Flow Indicator Parts List'!$D$2="CDN$",_xlfn.XLOOKUP(A562,Prices!A:A,Prices!D:D),IF('Flow Indicator Parts List'!$D$2="US$",_xlfn.XLOOKUP(CurrencyModifier!A562,Prices!A:A,Prices!E:E,"MISSING")))</f>
        <v>3.67</v>
      </c>
    </row>
    <row r="563" spans="1:2">
      <c r="A563" t="str">
        <f>Prices!A569</f>
        <v>40141-00</v>
      </c>
      <c r="B563" s="470">
        <f>IF('Flow Indicator Parts List'!$D$2="CDN$",_xlfn.XLOOKUP(A563,Prices!A:A,Prices!D:D),IF('Flow Indicator Parts List'!$D$2="US$",_xlfn.XLOOKUP(CurrencyModifier!A563,Prices!A:A,Prices!E:E,"MISSING")))</f>
        <v>5.1159999999999997</v>
      </c>
    </row>
    <row r="564" spans="1:2">
      <c r="A564" t="str">
        <f>Prices!A570</f>
        <v>40141-01</v>
      </c>
      <c r="B564" s="470">
        <f>IF('Flow Indicator Parts List'!$D$2="CDN$",_xlfn.XLOOKUP(A564,Prices!A:A,Prices!D:D),IF('Flow Indicator Parts List'!$D$2="US$",_xlfn.XLOOKUP(CurrencyModifier!A564,Prices!A:A,Prices!E:E,"MISSING")))</f>
        <v>3.67</v>
      </c>
    </row>
    <row r="565" spans="1:2">
      <c r="A565" t="str">
        <f>Prices!A571</f>
        <v>40150-00</v>
      </c>
      <c r="B565" s="470">
        <f>IF('Flow Indicator Parts List'!$D$2="CDN$",_xlfn.XLOOKUP(A565,Prices!A:A,Prices!D:D),IF('Flow Indicator Parts List'!$D$2="US$",_xlfn.XLOOKUP(CurrencyModifier!A565,Prices!A:A,Prices!E:E,"MISSING")))</f>
        <v>1.581</v>
      </c>
    </row>
    <row r="566" spans="1:2">
      <c r="A566" t="str">
        <f>Prices!A572</f>
        <v>40150-01</v>
      </c>
      <c r="B566" s="470">
        <f>IF('Flow Indicator Parts List'!$D$2="CDN$",_xlfn.XLOOKUP(A566,Prices!A:A,Prices!D:D),IF('Flow Indicator Parts List'!$D$2="US$",_xlfn.XLOOKUP(CurrencyModifier!A566,Prices!A:A,Prices!E:E,"MISSING")))</f>
        <v>1.377</v>
      </c>
    </row>
    <row r="567" spans="1:2">
      <c r="A567" t="str">
        <f>Prices!A573</f>
        <v>40150-02</v>
      </c>
      <c r="B567" s="470">
        <f>IF('Flow Indicator Parts List'!$D$2="CDN$",_xlfn.XLOOKUP(A567,Prices!A:A,Prices!D:D),IF('Flow Indicator Parts List'!$D$2="US$",_xlfn.XLOOKUP(CurrencyModifier!A567,Prices!A:A,Prices!E:E,"MISSING")))</f>
        <v>0.39500000000000002</v>
      </c>
    </row>
    <row r="568" spans="1:2">
      <c r="A568" t="str">
        <f>Prices!A574</f>
        <v>40150-03</v>
      </c>
      <c r="B568" s="470">
        <f>IF('Flow Indicator Parts List'!$D$2="CDN$",_xlfn.XLOOKUP(A568,Prices!A:A,Prices!D:D),IF('Flow Indicator Parts List'!$D$2="US$",_xlfn.XLOOKUP(CurrencyModifier!A568,Prices!A:A,Prices!E:E,"MISSING")))</f>
        <v>0.20799999999999999</v>
      </c>
    </row>
    <row r="569" spans="1:2">
      <c r="A569" t="str">
        <f>Prices!A575</f>
        <v>40151-00</v>
      </c>
      <c r="B569" s="470">
        <f>IF('Flow Indicator Parts List'!$D$2="CDN$",_xlfn.XLOOKUP(A569,Prices!A:A,Prices!D:D),IF('Flow Indicator Parts List'!$D$2="US$",_xlfn.XLOOKUP(CurrencyModifier!A569,Prices!A:A,Prices!E:E,"MISSING")))</f>
        <v>1.581</v>
      </c>
    </row>
    <row r="570" spans="1:2">
      <c r="A570" t="str">
        <f>Prices!A576</f>
        <v>40151-01</v>
      </c>
      <c r="B570" s="470">
        <f>IF('Flow Indicator Parts List'!$D$2="CDN$",_xlfn.XLOOKUP(A570,Prices!A:A,Prices!D:D),IF('Flow Indicator Parts List'!$D$2="US$",_xlfn.XLOOKUP(CurrencyModifier!A570,Prices!A:A,Prices!E:E,"MISSING")))</f>
        <v>1.365</v>
      </c>
    </row>
    <row r="571" spans="1:2">
      <c r="A571" t="str">
        <f>Prices!A577</f>
        <v>40151-02</v>
      </c>
      <c r="B571" s="470">
        <f>IF('Flow Indicator Parts List'!$D$2="CDN$",_xlfn.XLOOKUP(A571,Prices!A:A,Prices!D:D),IF('Flow Indicator Parts List'!$D$2="US$",_xlfn.XLOOKUP(CurrencyModifier!A571,Prices!A:A,Prices!E:E,"MISSING")))</f>
        <v>0.39500000000000002</v>
      </c>
    </row>
    <row r="572" spans="1:2">
      <c r="A572" t="str">
        <f>Prices!A578</f>
        <v>40151-03</v>
      </c>
      <c r="B572" s="470">
        <f>IF('Flow Indicator Parts List'!$D$2="CDN$",_xlfn.XLOOKUP(A572,Prices!A:A,Prices!D:D),IF('Flow Indicator Parts List'!$D$2="US$",_xlfn.XLOOKUP(CurrencyModifier!A572,Prices!A:A,Prices!E:E,"MISSING")))</f>
        <v>0.20599999999999999</v>
      </c>
    </row>
    <row r="573" spans="1:2">
      <c r="A573" t="str">
        <f>Prices!A579</f>
        <v>40152-00</v>
      </c>
      <c r="B573" s="470">
        <f>IF('Flow Indicator Parts List'!$D$2="CDN$",_xlfn.XLOOKUP(A573,Prices!A:A,Prices!D:D),IF('Flow Indicator Parts List'!$D$2="US$",_xlfn.XLOOKUP(CurrencyModifier!A573,Prices!A:A,Prices!E:E,"MISSING")))</f>
        <v>21.495999999999999</v>
      </c>
    </row>
    <row r="574" spans="1:2">
      <c r="A574" t="str">
        <f>Prices!A580</f>
        <v>40153-00</v>
      </c>
      <c r="B574" s="470">
        <f>IF('Flow Indicator Parts List'!$D$2="CDN$",_xlfn.XLOOKUP(A574,Prices!A:A,Prices!D:D),IF('Flow Indicator Parts List'!$D$2="US$",_xlfn.XLOOKUP(CurrencyModifier!A574,Prices!A:A,Prices!E:E,"MISSING")))</f>
        <v>27.03</v>
      </c>
    </row>
    <row r="575" spans="1:2">
      <c r="A575" t="str">
        <f>Prices!A581</f>
        <v>40154-00</v>
      </c>
      <c r="B575" s="470">
        <f>IF('Flow Indicator Parts List'!$D$2="CDN$",_xlfn.XLOOKUP(A575,Prices!A:A,Prices!D:D),IF('Flow Indicator Parts List'!$D$2="US$",_xlfn.XLOOKUP(CurrencyModifier!A575,Prices!A:A,Prices!E:E,"MISSING")))</f>
        <v>9.327</v>
      </c>
    </row>
    <row r="576" spans="1:2">
      <c r="A576" t="str">
        <f>Prices!A582</f>
        <v>40154-02</v>
      </c>
      <c r="B576" s="470">
        <f>IF('Flow Indicator Parts List'!$D$2="CDN$",_xlfn.XLOOKUP(A576,Prices!A:A,Prices!D:D),IF('Flow Indicator Parts List'!$D$2="US$",_xlfn.XLOOKUP(CurrencyModifier!A576,Prices!A:A,Prices!E:E,"MISSING")))</f>
        <v>7.6529999999999996</v>
      </c>
    </row>
    <row r="577" spans="1:2">
      <c r="A577" t="str">
        <f>Prices!A583</f>
        <v>40155-00</v>
      </c>
      <c r="B577" s="470">
        <f>IF('Flow Indicator Parts List'!$D$2="CDN$",_xlfn.XLOOKUP(A577,Prices!A:A,Prices!D:D),IF('Flow Indicator Parts List'!$D$2="US$",_xlfn.XLOOKUP(CurrencyModifier!A577,Prices!A:A,Prices!E:E,"MISSING")))</f>
        <v>24.04</v>
      </c>
    </row>
    <row r="578" spans="1:2">
      <c r="A578" t="str">
        <f>Prices!A584</f>
        <v>40155-01</v>
      </c>
      <c r="B578" s="470">
        <f>IF('Flow Indicator Parts List'!$D$2="CDN$",_xlfn.XLOOKUP(A578,Prices!A:A,Prices!D:D),IF('Flow Indicator Parts List'!$D$2="US$",_xlfn.XLOOKUP(CurrencyModifier!A578,Prices!A:A,Prices!E:E,"MISSING")))</f>
        <v>2.3740000000000001</v>
      </c>
    </row>
    <row r="579" spans="1:2">
      <c r="A579" t="str">
        <f>Prices!A585</f>
        <v>40155-02</v>
      </c>
      <c r="B579" s="470">
        <f>IF('Flow Indicator Parts List'!$D$2="CDN$",_xlfn.XLOOKUP(A579,Prices!A:A,Prices!D:D),IF('Flow Indicator Parts List'!$D$2="US$",_xlfn.XLOOKUP(CurrencyModifier!A579,Prices!A:A,Prices!E:E,"MISSING")))</f>
        <v>9.984</v>
      </c>
    </row>
    <row r="580" spans="1:2">
      <c r="A580" t="str">
        <f>Prices!A586</f>
        <v>40155-03</v>
      </c>
      <c r="B580" s="470">
        <f>IF('Flow Indicator Parts List'!$D$2="CDN$",_xlfn.XLOOKUP(A580,Prices!A:A,Prices!D:D),IF('Flow Indicator Parts List'!$D$2="US$",_xlfn.XLOOKUP(CurrencyModifier!A580,Prices!A:A,Prices!E:E,"MISSING")))</f>
        <v>6.6779999999999999</v>
      </c>
    </row>
    <row r="581" spans="1:2">
      <c r="A581" t="str">
        <f>Prices!A587</f>
        <v>40155-04</v>
      </c>
      <c r="B581" s="470">
        <f>IF('Flow Indicator Parts List'!$D$2="CDN$",_xlfn.XLOOKUP(A581,Prices!A:A,Prices!D:D),IF('Flow Indicator Parts List'!$D$2="US$",_xlfn.XLOOKUP(CurrencyModifier!A581,Prices!A:A,Prices!E:E,"MISSING")))</f>
        <v>2.077</v>
      </c>
    </row>
    <row r="582" spans="1:2">
      <c r="A582" t="str">
        <f>Prices!A588</f>
        <v>40155-05</v>
      </c>
      <c r="B582" s="470">
        <f>IF('Flow Indicator Parts List'!$D$2="CDN$",_xlfn.XLOOKUP(A582,Prices!A:A,Prices!D:D),IF('Flow Indicator Parts List'!$D$2="US$",_xlfn.XLOOKUP(CurrencyModifier!A582,Prices!A:A,Prices!E:E,"MISSING")))</f>
        <v>1.3340000000000001</v>
      </c>
    </row>
    <row r="583" spans="1:2">
      <c r="A583" t="str">
        <f>Prices!A589</f>
        <v>40155-06</v>
      </c>
      <c r="B583" s="470">
        <f>IF('Flow Indicator Parts List'!$D$2="CDN$",_xlfn.XLOOKUP(A583,Prices!A:A,Prices!D:D),IF('Flow Indicator Parts List'!$D$2="US$",_xlfn.XLOOKUP(CurrencyModifier!A583,Prices!A:A,Prices!E:E,"MISSING")))</f>
        <v>0.36</v>
      </c>
    </row>
    <row r="584" spans="1:2">
      <c r="A584" t="str">
        <f>Prices!A590</f>
        <v>40155-07</v>
      </c>
      <c r="B584" s="470">
        <f>IF('Flow Indicator Parts List'!$D$2="CDN$",_xlfn.XLOOKUP(A584,Prices!A:A,Prices!D:D),IF('Flow Indicator Parts List'!$D$2="US$",_xlfn.XLOOKUP(CurrencyModifier!A584,Prices!A:A,Prices!E:E,"MISSING")))</f>
        <v>1.1659999999999999</v>
      </c>
    </row>
    <row r="585" spans="1:2">
      <c r="A585" t="str">
        <f>Prices!A591</f>
        <v>40155-08</v>
      </c>
      <c r="B585" s="470">
        <f>IF('Flow Indicator Parts List'!$D$2="CDN$",_xlfn.XLOOKUP(A585,Prices!A:A,Prices!D:D),IF('Flow Indicator Parts List'!$D$2="US$",_xlfn.XLOOKUP(CurrencyModifier!A585,Prices!A:A,Prices!E:E,"MISSING")))</f>
        <v>3.9220000000000002</v>
      </c>
    </row>
    <row r="586" spans="1:2">
      <c r="A586" t="str">
        <f>Prices!A592</f>
        <v>40155-09</v>
      </c>
      <c r="B586" s="470">
        <f>IF('Flow Indicator Parts List'!$D$2="CDN$",_xlfn.XLOOKUP(A586,Prices!A:A,Prices!D:D),IF('Flow Indicator Parts List'!$D$2="US$",_xlfn.XLOOKUP(CurrencyModifier!A586,Prices!A:A,Prices!E:E,"MISSING")))</f>
        <v>0.38100000000000001</v>
      </c>
    </row>
    <row r="587" spans="1:2">
      <c r="A587" t="str">
        <f>Prices!A593</f>
        <v>40155-10</v>
      </c>
      <c r="B587" s="470">
        <f>IF('Flow Indicator Parts List'!$D$2="CDN$",_xlfn.XLOOKUP(A587,Prices!A:A,Prices!D:D),IF('Flow Indicator Parts List'!$D$2="US$",_xlfn.XLOOKUP(CurrencyModifier!A587,Prices!A:A,Prices!E:E,"MISSING")))</f>
        <v>0.46600000000000003</v>
      </c>
    </row>
    <row r="588" spans="1:2">
      <c r="A588" t="str">
        <f>Prices!A594</f>
        <v>40155-11</v>
      </c>
      <c r="B588" s="470">
        <f>IF('Flow Indicator Parts List'!$D$2="CDN$",_xlfn.XLOOKUP(A588,Prices!A:A,Prices!D:D),IF('Flow Indicator Parts List'!$D$2="US$",_xlfn.XLOOKUP(CurrencyModifier!A588,Prices!A:A,Prices!E:E,"MISSING")))</f>
        <v>0.44400000000000001</v>
      </c>
    </row>
    <row r="589" spans="1:2">
      <c r="A589" t="str">
        <f>Prices!A595</f>
        <v>40155-12</v>
      </c>
      <c r="B589" s="470">
        <f>IF('Flow Indicator Parts List'!$D$2="CDN$",_xlfn.XLOOKUP(A589,Prices!A:A,Prices!D:D),IF('Flow Indicator Parts List'!$D$2="US$",_xlfn.XLOOKUP(CurrencyModifier!A589,Prices!A:A,Prices!E:E,"MISSING")))</f>
        <v>4.1340000000000003</v>
      </c>
    </row>
    <row r="590" spans="1:2">
      <c r="A590" t="str">
        <f>Prices!A596</f>
        <v>40155-13</v>
      </c>
      <c r="B590" s="470">
        <f>IF('Flow Indicator Parts List'!$D$2="CDN$",_xlfn.XLOOKUP(A590,Prices!A:A,Prices!D:D),IF('Flow Indicator Parts List'!$D$2="US$",_xlfn.XLOOKUP(CurrencyModifier!A590,Prices!A:A,Prices!E:E,"MISSING")))</f>
        <v>0.63600000000000001</v>
      </c>
    </row>
    <row r="591" spans="1:2">
      <c r="A591" t="str">
        <f>Prices!A597</f>
        <v>40155-14</v>
      </c>
      <c r="B591" s="470">
        <f>IF('Flow Indicator Parts List'!$D$2="CDN$",_xlfn.XLOOKUP(A591,Prices!A:A,Prices!D:D),IF('Flow Indicator Parts List'!$D$2="US$",_xlfn.XLOOKUP(CurrencyModifier!A591,Prices!A:A,Prices!E:E,"MISSING")))</f>
        <v>2.3740000000000001</v>
      </c>
    </row>
    <row r="592" spans="1:2">
      <c r="A592" t="str">
        <f>Prices!A598</f>
        <v>40155-15</v>
      </c>
      <c r="B592" s="470">
        <f>IF('Flow Indicator Parts List'!$D$2="CDN$",_xlfn.XLOOKUP(A592,Prices!A:A,Prices!D:D),IF('Flow Indicator Parts List'!$D$2="US$",_xlfn.XLOOKUP(CurrencyModifier!A592,Prices!A:A,Prices!E:E,"MISSING")))</f>
        <v>1.534</v>
      </c>
    </row>
    <row r="593" spans="1:2">
      <c r="A593" t="str">
        <f>Prices!A599</f>
        <v>40155-16</v>
      </c>
      <c r="B593" s="470">
        <f>IF('Flow Indicator Parts List'!$D$2="CDN$",_xlfn.XLOOKUP(A593,Prices!A:A,Prices!D:D),IF('Flow Indicator Parts List'!$D$2="US$",_xlfn.XLOOKUP(CurrencyModifier!A593,Prices!A:A,Prices!E:E,"MISSING")))</f>
        <v>1.038</v>
      </c>
    </row>
    <row r="594" spans="1:2">
      <c r="A594" t="str">
        <f>Prices!A600</f>
        <v>40155-17</v>
      </c>
      <c r="B594" s="470">
        <f>IF('Flow Indicator Parts List'!$D$2="CDN$",_xlfn.XLOOKUP(A594,Prices!A:A,Prices!D:D),IF('Flow Indicator Parts List'!$D$2="US$",_xlfn.XLOOKUP(CurrencyModifier!A594,Prices!A:A,Prices!E:E,"MISSING")))</f>
        <v>4.8959999999999999</v>
      </c>
    </row>
    <row r="595" spans="1:2">
      <c r="A595" t="str">
        <f>Prices!A601</f>
        <v>40155-18</v>
      </c>
      <c r="B595" s="470">
        <f>IF('Flow Indicator Parts List'!$D$2="CDN$",_xlfn.XLOOKUP(A595,Prices!A:A,Prices!D:D),IF('Flow Indicator Parts List'!$D$2="US$",_xlfn.XLOOKUP(CurrencyModifier!A595,Prices!A:A,Prices!E:E,"MISSING")))</f>
        <v>1.038</v>
      </c>
    </row>
    <row r="596" spans="1:2">
      <c r="A596" t="str">
        <f>Prices!A602</f>
        <v>40155-19</v>
      </c>
      <c r="B596" s="470">
        <f>IF('Flow Indicator Parts List'!$D$2="CDN$",_xlfn.XLOOKUP(A596,Prices!A:A,Prices!D:D),IF('Flow Indicator Parts List'!$D$2="US$",_xlfn.XLOOKUP(CurrencyModifier!A596,Prices!A:A,Prices!E:E,"MISSING")))</f>
        <v>1.038</v>
      </c>
    </row>
    <row r="597" spans="1:2">
      <c r="A597" t="str">
        <f>Prices!A603</f>
        <v>40155-20</v>
      </c>
      <c r="B597" s="470">
        <f>IF('Flow Indicator Parts List'!$D$2="CDN$",_xlfn.XLOOKUP(A597,Prices!A:A,Prices!D:D),IF('Flow Indicator Parts List'!$D$2="US$",_xlfn.XLOOKUP(CurrencyModifier!A597,Prices!A:A,Prices!E:E,"MISSING")))</f>
        <v>3.9220000000000002</v>
      </c>
    </row>
    <row r="598" spans="1:2">
      <c r="A598" t="str">
        <f>Prices!A604</f>
        <v>40155-21</v>
      </c>
      <c r="B598" s="470">
        <f>IF('Flow Indicator Parts List'!$D$2="CDN$",_xlfn.XLOOKUP(A598,Prices!A:A,Prices!D:D),IF('Flow Indicator Parts List'!$D$2="US$",_xlfn.XLOOKUP(CurrencyModifier!A598,Prices!A:A,Prices!E:E,"MISSING")))</f>
        <v>2.077</v>
      </c>
    </row>
    <row r="599" spans="1:2">
      <c r="A599" t="str">
        <f>Prices!A605</f>
        <v>40155-22</v>
      </c>
      <c r="B599" s="470">
        <f>IF('Flow Indicator Parts List'!$D$2="CDN$",_xlfn.XLOOKUP(A599,Prices!A:A,Prices!D:D),IF('Flow Indicator Parts List'!$D$2="US$",_xlfn.XLOOKUP(CurrencyModifier!A599,Prices!A:A,Prices!E:E,"MISSING")))</f>
        <v>5.6909999999999998</v>
      </c>
    </row>
    <row r="600" spans="1:2">
      <c r="A600" t="str">
        <f>Prices!A606</f>
        <v>40155-23</v>
      </c>
      <c r="B600" s="470">
        <f>IF('Flow Indicator Parts List'!$D$2="CDN$",_xlfn.XLOOKUP(A600,Prices!A:A,Prices!D:D),IF('Flow Indicator Parts List'!$D$2="US$",_xlfn.XLOOKUP(CurrencyModifier!A600,Prices!A:A,Prices!E:E,"MISSING")))</f>
        <v>1.486</v>
      </c>
    </row>
    <row r="601" spans="1:2">
      <c r="A601" t="str">
        <f>Prices!A607</f>
        <v>40155-V23</v>
      </c>
      <c r="B601" s="470">
        <f>IF('Flow Indicator Parts List'!$D$2="CDN$",_xlfn.XLOOKUP(A601,Prices!A:A,Prices!D:D),IF('Flow Indicator Parts List'!$D$2="US$",_xlfn.XLOOKUP(CurrencyModifier!A601,Prices!A:A,Prices!E:E,"MISSING")))</f>
        <v>4.7699999999999996</v>
      </c>
    </row>
    <row r="602" spans="1:2">
      <c r="A602" t="str">
        <f>Prices!A608</f>
        <v>40156-00</v>
      </c>
      <c r="B602" s="470">
        <f>IF('Flow Indicator Parts List'!$D$2="CDN$",_xlfn.XLOOKUP(A602,Prices!A:A,Prices!D:D),IF('Flow Indicator Parts List'!$D$2="US$",_xlfn.XLOOKUP(CurrencyModifier!A602,Prices!A:A,Prices!E:E,"MISSING")))</f>
        <v>9.327</v>
      </c>
    </row>
    <row r="603" spans="1:2">
      <c r="A603" t="str">
        <f>Prices!A609</f>
        <v>40156-02</v>
      </c>
      <c r="B603" s="470">
        <f>IF('Flow Indicator Parts List'!$D$2="CDN$",_xlfn.XLOOKUP(A603,Prices!A:A,Prices!D:D),IF('Flow Indicator Parts List'!$D$2="US$",_xlfn.XLOOKUP(CurrencyModifier!A603,Prices!A:A,Prices!E:E,"MISSING")))</f>
        <v>7.6529999999999996</v>
      </c>
    </row>
    <row r="604" spans="1:2">
      <c r="A604" t="str">
        <f>Prices!A610</f>
        <v>40156-P15</v>
      </c>
      <c r="B604" s="470">
        <f>IF('Flow Indicator Parts List'!$D$2="CDN$",_xlfn.XLOOKUP(A604,Prices!A:A,Prices!D:D),IF('Flow Indicator Parts List'!$D$2="US$",_xlfn.XLOOKUP(CurrencyModifier!A604,Prices!A:A,Prices!E:E,"MISSING")))</f>
        <v>9.327</v>
      </c>
    </row>
    <row r="605" spans="1:2">
      <c r="A605" t="str">
        <f>Prices!A611</f>
        <v>40157-00</v>
      </c>
      <c r="B605" s="470">
        <f>IF('Flow Indicator Parts List'!$D$2="CDN$",_xlfn.XLOOKUP(A605,Prices!A:A,Prices!D:D),IF('Flow Indicator Parts List'!$D$2="US$",_xlfn.XLOOKUP(CurrencyModifier!A605,Prices!A:A,Prices!E:E,"MISSING")))</f>
        <v>24.04</v>
      </c>
    </row>
    <row r="606" spans="1:2">
      <c r="A606" t="str">
        <f>Prices!A612</f>
        <v>40157-01</v>
      </c>
      <c r="B606" s="470">
        <f>IF('Flow Indicator Parts List'!$D$2="CDN$",_xlfn.XLOOKUP(A606,Prices!A:A,Prices!D:D),IF('Flow Indicator Parts List'!$D$2="US$",_xlfn.XLOOKUP(CurrencyModifier!A606,Prices!A:A,Prices!E:E,"MISSING")))</f>
        <v>2.3740000000000001</v>
      </c>
    </row>
    <row r="607" spans="1:2">
      <c r="A607" t="str">
        <f>Prices!A613</f>
        <v>40157-02</v>
      </c>
      <c r="B607" s="470">
        <f>IF('Flow Indicator Parts List'!$D$2="CDN$",_xlfn.XLOOKUP(A607,Prices!A:A,Prices!D:D),IF('Flow Indicator Parts List'!$D$2="US$",_xlfn.XLOOKUP(CurrencyModifier!A607,Prices!A:A,Prices!E:E,"MISSING")))</f>
        <v>9.984</v>
      </c>
    </row>
    <row r="608" spans="1:2">
      <c r="A608" t="str">
        <f>Prices!A614</f>
        <v>40159-01</v>
      </c>
      <c r="B608" s="470">
        <f>IF('Flow Indicator Parts List'!$D$2="CDN$",_xlfn.XLOOKUP(A608,Prices!A:A,Prices!D:D),IF('Flow Indicator Parts List'!$D$2="US$",_xlfn.XLOOKUP(CurrencyModifier!A608,Prices!A:A,Prices!E:E,"MISSING")))</f>
        <v>0.98699999999999999</v>
      </c>
    </row>
    <row r="609" spans="1:2">
      <c r="A609" t="str">
        <f>Prices!A615</f>
        <v>40159-02</v>
      </c>
      <c r="B609" s="470">
        <f>IF('Flow Indicator Parts List'!$D$2="CDN$",_xlfn.XLOOKUP(A609,Prices!A:A,Prices!D:D),IF('Flow Indicator Parts List'!$D$2="US$",_xlfn.XLOOKUP(CurrencyModifier!A609,Prices!A:A,Prices!E:E,"MISSING")))</f>
        <v>0.98699999999999999</v>
      </c>
    </row>
    <row r="610" spans="1:2">
      <c r="A610" t="str">
        <f>Prices!A616</f>
        <v>40159-03</v>
      </c>
      <c r="B610" s="470">
        <f>IF('Flow Indicator Parts List'!$D$2="CDN$",_xlfn.XLOOKUP(A610,Prices!A:A,Prices!D:D),IF('Flow Indicator Parts List'!$D$2="US$",_xlfn.XLOOKUP(CurrencyModifier!A610,Prices!A:A,Prices!E:E,"MISSING")))</f>
        <v>0.98699999999999999</v>
      </c>
    </row>
    <row r="611" spans="1:2">
      <c r="A611" t="str">
        <f>Prices!A617</f>
        <v>40159-04</v>
      </c>
      <c r="B611" s="470">
        <f>IF('Flow Indicator Parts List'!$D$2="CDN$",_xlfn.XLOOKUP(A611,Prices!A:A,Prices!D:D),IF('Flow Indicator Parts List'!$D$2="US$",_xlfn.XLOOKUP(CurrencyModifier!A611,Prices!A:A,Prices!E:E,"MISSING")))</f>
        <v>0.98699999999999999</v>
      </c>
    </row>
    <row r="612" spans="1:2">
      <c r="A612" t="str">
        <f>Prices!A618</f>
        <v>40159-05</v>
      </c>
      <c r="B612" s="470">
        <f>IF('Flow Indicator Parts List'!$D$2="CDN$",_xlfn.XLOOKUP(A612,Prices!A:A,Prices!D:D),IF('Flow Indicator Parts List'!$D$2="US$",_xlfn.XLOOKUP(CurrencyModifier!A612,Prices!A:A,Prices!E:E,"MISSING")))</f>
        <v>0.98699999999999999</v>
      </c>
    </row>
    <row r="613" spans="1:2">
      <c r="A613" t="str">
        <f>Prices!A619</f>
        <v>40160-00</v>
      </c>
      <c r="B613" s="470">
        <f>IF('Flow Indicator Parts List'!$D$2="CDN$",_xlfn.XLOOKUP(A613,Prices!A:A,Prices!D:D),IF('Flow Indicator Parts List'!$D$2="US$",_xlfn.XLOOKUP(CurrencyModifier!A613,Prices!A:A,Prices!E:E,"MISSING")))</f>
        <v>0.76500000000000001</v>
      </c>
    </row>
    <row r="614" spans="1:2">
      <c r="A614" t="str">
        <f>Prices!A620</f>
        <v>40160-FKM</v>
      </c>
      <c r="B614" s="470">
        <f>IF('Flow Indicator Parts List'!$D$2="CDN$",_xlfn.XLOOKUP(A614,Prices!A:A,Prices!D:D),IF('Flow Indicator Parts List'!$D$2="US$",_xlfn.XLOOKUP(CurrencyModifier!A614,Prices!A:A,Prices!E:E,"MISSING")))</f>
        <v>3.4580000000000002</v>
      </c>
    </row>
    <row r="615" spans="1:2">
      <c r="A615" t="str">
        <f>Prices!A621</f>
        <v>40160-V0</v>
      </c>
      <c r="B615" s="470">
        <f>IF('Flow Indicator Parts List'!$D$2="CDN$",_xlfn.XLOOKUP(A615,Prices!A:A,Prices!D:D),IF('Flow Indicator Parts List'!$D$2="US$",_xlfn.XLOOKUP(CurrencyModifier!A615,Prices!A:A,Prices!E:E,"MISSING")))</f>
        <v>3.4580000000000002</v>
      </c>
    </row>
    <row r="616" spans="1:2">
      <c r="A616" t="str">
        <f>Prices!A622</f>
        <v>40161-00</v>
      </c>
      <c r="B616" s="470">
        <f>IF('Flow Indicator Parts List'!$D$2="CDN$",_xlfn.XLOOKUP(A616,Prices!A:A,Prices!D:D),IF('Flow Indicator Parts List'!$D$2="US$",_xlfn.XLOOKUP(CurrencyModifier!A616,Prices!A:A,Prices!E:E,"MISSING")))</f>
        <v>3.4569999999999999</v>
      </c>
    </row>
    <row r="617" spans="1:2">
      <c r="A617" t="str">
        <f>Prices!A623</f>
        <v>40162-00</v>
      </c>
      <c r="B617" s="470">
        <f>IF('Flow Indicator Parts List'!$D$2="CDN$",_xlfn.XLOOKUP(A617,Prices!A:A,Prices!D:D),IF('Flow Indicator Parts List'!$D$2="US$",_xlfn.XLOOKUP(CurrencyModifier!A617,Prices!A:A,Prices!E:E,"MISSING")))</f>
        <v>3.6819999999999999</v>
      </c>
    </row>
    <row r="618" spans="1:2">
      <c r="A618" t="str">
        <f>Prices!A624</f>
        <v>40163-00</v>
      </c>
      <c r="B618" s="470">
        <f>IF('Flow Indicator Parts List'!$D$2="CDN$",_xlfn.XLOOKUP(A618,Prices!A:A,Prices!D:D),IF('Flow Indicator Parts List'!$D$2="US$",_xlfn.XLOOKUP(CurrencyModifier!A618,Prices!A:A,Prices!E:E,"MISSING")))</f>
        <v>3.8879999999999999</v>
      </c>
    </row>
    <row r="619" spans="1:2">
      <c r="A619" t="str">
        <f>Prices!A625</f>
        <v>40164-00</v>
      </c>
      <c r="B619" s="470">
        <f>IF('Flow Indicator Parts List'!$D$2="CDN$",_xlfn.XLOOKUP(A619,Prices!A:A,Prices!D:D),IF('Flow Indicator Parts List'!$D$2="US$",_xlfn.XLOOKUP(CurrencyModifier!A619,Prices!A:A,Prices!E:E,"MISSING")))</f>
        <v>3.8639999999999999</v>
      </c>
    </row>
    <row r="620" spans="1:2">
      <c r="A620" t="str">
        <f>Prices!A626</f>
        <v>40165-01</v>
      </c>
      <c r="B620" s="470">
        <f>IF('Flow Indicator Parts List'!$D$2="CDN$",_xlfn.XLOOKUP(A620,Prices!A:A,Prices!D:D),IF('Flow Indicator Parts List'!$D$2="US$",_xlfn.XLOOKUP(CurrencyModifier!A620,Prices!A:A,Prices!E:E,"MISSING")))</f>
        <v>2.12</v>
      </c>
    </row>
    <row r="621" spans="1:2">
      <c r="A621" t="str">
        <f>Prices!A627</f>
        <v>40165-02</v>
      </c>
      <c r="B621" s="470">
        <f>IF('Flow Indicator Parts List'!$D$2="CDN$",_xlfn.XLOOKUP(A621,Prices!A:A,Prices!D:D),IF('Flow Indicator Parts List'!$D$2="US$",_xlfn.XLOOKUP(CurrencyModifier!A621,Prices!A:A,Prices!E:E,"MISSING")))</f>
        <v>2.12</v>
      </c>
    </row>
    <row r="622" spans="1:2">
      <c r="A622" t="str">
        <f>Prices!A628</f>
        <v>40165-03</v>
      </c>
      <c r="B622" s="470">
        <f>IF('Flow Indicator Parts List'!$D$2="CDN$",_xlfn.XLOOKUP(A622,Prices!A:A,Prices!D:D),IF('Flow Indicator Parts List'!$D$2="US$",_xlfn.XLOOKUP(CurrencyModifier!A622,Prices!A:A,Prices!E:E,"MISSING")))</f>
        <v>2.12</v>
      </c>
    </row>
    <row r="623" spans="1:2">
      <c r="A623" t="str">
        <f>Prices!A629</f>
        <v>40165-04</v>
      </c>
      <c r="B623" s="470">
        <f>IF('Flow Indicator Parts List'!$D$2="CDN$",_xlfn.XLOOKUP(A623,Prices!A:A,Prices!D:D),IF('Flow Indicator Parts List'!$D$2="US$",_xlfn.XLOOKUP(CurrencyModifier!A623,Prices!A:A,Prices!E:E,"MISSING")))</f>
        <v>2.12</v>
      </c>
    </row>
    <row r="624" spans="1:2">
      <c r="A624" t="str">
        <f>Prices!A630</f>
        <v>40165-05</v>
      </c>
      <c r="B624" s="470">
        <f>IF('Flow Indicator Parts List'!$D$2="CDN$",_xlfn.XLOOKUP(A624,Prices!A:A,Prices!D:D),IF('Flow Indicator Parts List'!$D$2="US$",_xlfn.XLOOKUP(CurrencyModifier!A624,Prices!A:A,Prices!E:E,"MISSING")))</f>
        <v>2.12</v>
      </c>
    </row>
    <row r="625" spans="1:2">
      <c r="A625" t="str">
        <f>Prices!A631</f>
        <v>40166-00</v>
      </c>
      <c r="B625" s="470">
        <f>IF('Flow Indicator Parts List'!$D$2="CDN$",_xlfn.XLOOKUP(A625,Prices!A:A,Prices!D:D),IF('Flow Indicator Parts List'!$D$2="US$",_xlfn.XLOOKUP(CurrencyModifier!A625,Prices!A:A,Prices!E:E,"MISSING")))</f>
        <v>29.574000000000002</v>
      </c>
    </row>
    <row r="626" spans="1:2">
      <c r="A626" t="str">
        <f>Prices!A632</f>
        <v>40166-02</v>
      </c>
      <c r="B626" s="470">
        <f>IF('Flow Indicator Parts List'!$D$2="CDN$",_xlfn.XLOOKUP(A626,Prices!A:A,Prices!D:D),IF('Flow Indicator Parts List'!$D$2="US$",_xlfn.XLOOKUP(CurrencyModifier!A626,Prices!A:A,Prices!E:E,"MISSING")))</f>
        <v>10.946</v>
      </c>
    </row>
    <row r="627" spans="1:2">
      <c r="A627" t="str">
        <f>Prices!A633</f>
        <v>40166-03</v>
      </c>
      <c r="B627" s="470">
        <f>IF('Flow Indicator Parts List'!$D$2="CDN$",_xlfn.XLOOKUP(A627,Prices!A:A,Prices!D:D),IF('Flow Indicator Parts List'!$D$2="US$",_xlfn.XLOOKUP(CurrencyModifier!A627,Prices!A:A,Prices!E:E,"MISSING")))</f>
        <v>8.8610000000000007</v>
      </c>
    </row>
    <row r="628" spans="1:2">
      <c r="A628" t="str">
        <f>Prices!A634</f>
        <v>40166-04</v>
      </c>
      <c r="B628" s="470">
        <f>IF('Flow Indicator Parts List'!$D$2="CDN$",_xlfn.XLOOKUP(A628,Prices!A:A,Prices!D:D),IF('Flow Indicator Parts List'!$D$2="US$",_xlfn.XLOOKUP(CurrencyModifier!A628,Prices!A:A,Prices!E:E,"MISSING")))</f>
        <v>19.132000000000001</v>
      </c>
    </row>
    <row r="629" spans="1:2">
      <c r="A629" t="str">
        <f>Prices!A635</f>
        <v>40166-05</v>
      </c>
      <c r="B629" s="470">
        <f>IF('Flow Indicator Parts List'!$D$2="CDN$",_xlfn.XLOOKUP(A629,Prices!A:A,Prices!D:D),IF('Flow Indicator Parts List'!$D$2="US$",_xlfn.XLOOKUP(CurrencyModifier!A629,Prices!A:A,Prices!E:E,"MISSING")))</f>
        <v>53.783999999999999</v>
      </c>
    </row>
    <row r="630" spans="1:2">
      <c r="A630" t="str">
        <f>Prices!A636</f>
        <v>40167-00</v>
      </c>
      <c r="B630" s="470">
        <f>IF('Flow Indicator Parts List'!$D$2="CDN$",_xlfn.XLOOKUP(A630,Prices!A:A,Prices!D:D),IF('Flow Indicator Parts List'!$D$2="US$",_xlfn.XLOOKUP(CurrencyModifier!A630,Prices!A:A,Prices!E:E,"MISSING")))</f>
        <v>29.574000000000002</v>
      </c>
    </row>
    <row r="631" spans="1:2">
      <c r="A631" t="str">
        <f>Prices!A637</f>
        <v>40167-02</v>
      </c>
      <c r="B631" s="470">
        <f>IF('Flow Indicator Parts List'!$D$2="CDN$",_xlfn.XLOOKUP(A631,Prices!A:A,Prices!D:D),IF('Flow Indicator Parts List'!$D$2="US$",_xlfn.XLOOKUP(CurrencyModifier!A631,Prices!A:A,Prices!E:E,"MISSING")))</f>
        <v>10.946</v>
      </c>
    </row>
    <row r="632" spans="1:2">
      <c r="A632" t="str">
        <f>Prices!A638</f>
        <v>40167-P15</v>
      </c>
      <c r="B632" s="470">
        <f>IF('Flow Indicator Parts List'!$D$2="CDN$",_xlfn.XLOOKUP(A632,Prices!A:A,Prices!D:D),IF('Flow Indicator Parts List'!$D$2="US$",_xlfn.XLOOKUP(CurrencyModifier!A632,Prices!A:A,Prices!E:E,"MISSING")))</f>
        <v>29.574000000000002</v>
      </c>
    </row>
    <row r="633" spans="1:2">
      <c r="A633" t="str">
        <f>Prices!A639</f>
        <v>40169-01</v>
      </c>
      <c r="B633" s="470">
        <f>IF('Flow Indicator Parts List'!$D$2="CDN$",_xlfn.XLOOKUP(A633,Prices!A:A,Prices!D:D),IF('Flow Indicator Parts List'!$D$2="US$",_xlfn.XLOOKUP(CurrencyModifier!A633,Prices!A:A,Prices!E:E,"MISSING")))</f>
        <v>13.992000000000001</v>
      </c>
    </row>
    <row r="634" spans="1:2">
      <c r="A634" t="str">
        <f>Prices!A640</f>
        <v>40169-015</v>
      </c>
      <c r="B634" s="470">
        <f>IF('Flow Indicator Parts List'!$D$2="CDN$",_xlfn.XLOOKUP(A634,Prices!A:A,Prices!D:D),IF('Flow Indicator Parts List'!$D$2="US$",_xlfn.XLOOKUP(CurrencyModifier!A634,Prices!A:A,Prices!E:E,"MISSING")))</f>
        <v>13.992000000000001</v>
      </c>
    </row>
    <row r="635" spans="1:2">
      <c r="A635" t="str">
        <f>Prices!A641</f>
        <v>40169-02</v>
      </c>
      <c r="B635" s="470">
        <f>IF('Flow Indicator Parts List'!$D$2="CDN$",_xlfn.XLOOKUP(A635,Prices!A:A,Prices!D:D),IF('Flow Indicator Parts List'!$D$2="US$",_xlfn.XLOOKUP(CurrencyModifier!A635,Prices!A:A,Prices!E:E,"MISSING")))</f>
        <v>13.992000000000001</v>
      </c>
    </row>
    <row r="636" spans="1:2">
      <c r="A636" t="str">
        <f>Prices!A642</f>
        <v>40169-025</v>
      </c>
      <c r="B636" s="470">
        <f>IF('Flow Indicator Parts List'!$D$2="CDN$",_xlfn.XLOOKUP(A636,Prices!A:A,Prices!D:D),IF('Flow Indicator Parts List'!$D$2="US$",_xlfn.XLOOKUP(CurrencyModifier!A636,Prices!A:A,Prices!E:E,"MISSING")))</f>
        <v>13.992000000000001</v>
      </c>
    </row>
    <row r="637" spans="1:2">
      <c r="A637" t="str">
        <f>Prices!A643</f>
        <v>40169-03</v>
      </c>
      <c r="B637" s="470">
        <f>IF('Flow Indicator Parts List'!$D$2="CDN$",_xlfn.XLOOKUP(A637,Prices!A:A,Prices!D:D),IF('Flow Indicator Parts List'!$D$2="US$",_xlfn.XLOOKUP(CurrencyModifier!A637,Prices!A:A,Prices!E:E,"MISSING")))</f>
        <v>13.992000000000001</v>
      </c>
    </row>
    <row r="638" spans="1:2">
      <c r="A638" t="str">
        <f>Prices!A644</f>
        <v>40169-04</v>
      </c>
      <c r="B638" s="470">
        <f>IF('Flow Indicator Parts List'!$D$2="CDN$",_xlfn.XLOOKUP(A638,Prices!A:A,Prices!D:D),IF('Flow Indicator Parts List'!$D$2="US$",_xlfn.XLOOKUP(CurrencyModifier!A638,Prices!A:A,Prices!E:E,"MISSING")))</f>
        <v>13.992000000000001</v>
      </c>
    </row>
    <row r="639" spans="1:2">
      <c r="A639" t="str">
        <f>Prices!A645</f>
        <v>40169-05</v>
      </c>
      <c r="B639" s="470">
        <f>IF('Flow Indicator Parts List'!$D$2="CDN$",_xlfn.XLOOKUP(A639,Prices!A:A,Prices!D:D),IF('Flow Indicator Parts List'!$D$2="US$",_xlfn.XLOOKUP(CurrencyModifier!A639,Prices!A:A,Prices!E:E,"MISSING")))</f>
        <v>13.992000000000001</v>
      </c>
    </row>
    <row r="640" spans="1:2">
      <c r="A640" t="str">
        <f>Prices!A646</f>
        <v>40169-06</v>
      </c>
      <c r="B640" s="470">
        <f>IF('Flow Indicator Parts List'!$D$2="CDN$",_xlfn.XLOOKUP(A640,Prices!A:A,Prices!D:D),IF('Flow Indicator Parts List'!$D$2="US$",_xlfn.XLOOKUP(CurrencyModifier!A640,Prices!A:A,Prices!E:E,"MISSING")))</f>
        <v>13.992000000000001</v>
      </c>
    </row>
    <row r="641" spans="1:2">
      <c r="A641" t="str">
        <f>Prices!A647</f>
        <v>40169-08</v>
      </c>
      <c r="B641" s="470">
        <f>IF('Flow Indicator Parts List'!$D$2="CDN$",_xlfn.XLOOKUP(A641,Prices!A:A,Prices!D:D),IF('Flow Indicator Parts List'!$D$2="US$",_xlfn.XLOOKUP(CurrencyModifier!A641,Prices!A:A,Prices!E:E,"MISSING")))</f>
        <v>13.992000000000001</v>
      </c>
    </row>
    <row r="642" spans="1:2">
      <c r="A642" t="str">
        <f>Prices!A648</f>
        <v>40170-005</v>
      </c>
      <c r="B642" s="470">
        <f>IF('Flow Indicator Parts List'!$D$2="CDN$",_xlfn.XLOOKUP(A642,Prices!A:A,Prices!D:D),IF('Flow Indicator Parts List'!$D$2="US$",_xlfn.XLOOKUP(CurrencyModifier!A642,Prices!A:A,Prices!E:E,"MISSING")))</f>
        <v>18.021999999999998</v>
      </c>
    </row>
    <row r="643" spans="1:2">
      <c r="A643" t="str">
        <f>Prices!A649</f>
        <v>40170-007</v>
      </c>
      <c r="B643" s="470">
        <f>IF('Flow Indicator Parts List'!$D$2="CDN$",_xlfn.XLOOKUP(A643,Prices!A:A,Prices!D:D),IF('Flow Indicator Parts List'!$D$2="US$",_xlfn.XLOOKUP(CurrencyModifier!A643,Prices!A:A,Prices!E:E,"MISSING")))</f>
        <v>18.02</v>
      </c>
    </row>
    <row r="644" spans="1:2">
      <c r="A644" t="str">
        <f>Prices!A650</f>
        <v>40170-01</v>
      </c>
      <c r="B644" s="470">
        <f>IF('Flow Indicator Parts List'!$D$2="CDN$",_xlfn.XLOOKUP(A644,Prices!A:A,Prices!D:D),IF('Flow Indicator Parts List'!$D$2="US$",_xlfn.XLOOKUP(CurrencyModifier!A644,Prices!A:A,Prices!E:E,"MISSING")))</f>
        <v>13.992000000000001</v>
      </c>
    </row>
    <row r="645" spans="1:2">
      <c r="A645" t="str">
        <f>Prices!A651</f>
        <v>40170-015</v>
      </c>
      <c r="B645" s="470">
        <f>IF('Flow Indicator Parts List'!$D$2="CDN$",_xlfn.XLOOKUP(A645,Prices!A:A,Prices!D:D),IF('Flow Indicator Parts List'!$D$2="US$",_xlfn.XLOOKUP(CurrencyModifier!A645,Prices!A:A,Prices!E:E,"MISSING")))</f>
        <v>13.992000000000001</v>
      </c>
    </row>
    <row r="646" spans="1:2">
      <c r="A646" t="str">
        <f>Prices!A652</f>
        <v>40170-02</v>
      </c>
      <c r="B646" s="470">
        <f>IF('Flow Indicator Parts List'!$D$2="CDN$",_xlfn.XLOOKUP(A646,Prices!A:A,Prices!D:D),IF('Flow Indicator Parts List'!$D$2="US$",_xlfn.XLOOKUP(CurrencyModifier!A646,Prices!A:A,Prices!E:E,"MISSING")))</f>
        <v>13.992000000000001</v>
      </c>
    </row>
    <row r="647" spans="1:2">
      <c r="A647" t="str">
        <f>Prices!A653</f>
        <v>40170-025</v>
      </c>
      <c r="B647" s="470">
        <f>IF('Flow Indicator Parts List'!$D$2="CDN$",_xlfn.XLOOKUP(A647,Prices!A:A,Prices!D:D),IF('Flow Indicator Parts List'!$D$2="US$",_xlfn.XLOOKUP(CurrencyModifier!A647,Prices!A:A,Prices!E:E,"MISSING")))</f>
        <v>13.992000000000001</v>
      </c>
    </row>
    <row r="648" spans="1:2">
      <c r="A648" t="str">
        <f>Prices!A654</f>
        <v>40170-03</v>
      </c>
      <c r="B648" s="470">
        <f>IF('Flow Indicator Parts List'!$D$2="CDN$",_xlfn.XLOOKUP(A648,Prices!A:A,Prices!D:D),IF('Flow Indicator Parts List'!$D$2="US$",_xlfn.XLOOKUP(CurrencyModifier!A648,Prices!A:A,Prices!E:E,"MISSING")))</f>
        <v>13.992000000000001</v>
      </c>
    </row>
    <row r="649" spans="1:2">
      <c r="A649" t="str">
        <f>Prices!A655</f>
        <v>40170-04</v>
      </c>
      <c r="B649" s="470">
        <f>IF('Flow Indicator Parts List'!$D$2="CDN$",_xlfn.XLOOKUP(A649,Prices!A:A,Prices!D:D),IF('Flow Indicator Parts List'!$D$2="US$",_xlfn.XLOOKUP(CurrencyModifier!A649,Prices!A:A,Prices!E:E,"MISSING")))</f>
        <v>13.992000000000001</v>
      </c>
    </row>
    <row r="650" spans="1:2">
      <c r="A650" t="str">
        <f>Prices!A656</f>
        <v>40170-05</v>
      </c>
      <c r="B650" s="470">
        <f>IF('Flow Indicator Parts List'!$D$2="CDN$",_xlfn.XLOOKUP(A650,Prices!A:A,Prices!D:D),IF('Flow Indicator Parts List'!$D$2="US$",_xlfn.XLOOKUP(CurrencyModifier!A650,Prices!A:A,Prices!E:E,"MISSING")))</f>
        <v>13.992000000000001</v>
      </c>
    </row>
    <row r="651" spans="1:2">
      <c r="A651" t="str">
        <f>Prices!A657</f>
        <v>40170-06</v>
      </c>
      <c r="B651" s="470">
        <f>IF('Flow Indicator Parts List'!$D$2="CDN$",_xlfn.XLOOKUP(A651,Prices!A:A,Prices!D:D),IF('Flow Indicator Parts List'!$D$2="US$",_xlfn.XLOOKUP(CurrencyModifier!A651,Prices!A:A,Prices!E:E,"MISSING")))</f>
        <v>13.992000000000001</v>
      </c>
    </row>
    <row r="652" spans="1:2">
      <c r="A652" t="str">
        <f>Prices!A658</f>
        <v>40170-08</v>
      </c>
      <c r="B652" s="470">
        <f>IF('Flow Indicator Parts List'!$D$2="CDN$",_xlfn.XLOOKUP(A652,Prices!A:A,Prices!D:D),IF('Flow Indicator Parts List'!$D$2="US$",_xlfn.XLOOKUP(CurrencyModifier!A652,Prices!A:A,Prices!E:E,"MISSING")))</f>
        <v>13.992000000000001</v>
      </c>
    </row>
    <row r="653" spans="1:2">
      <c r="A653" t="str">
        <f>Prices!A659</f>
        <v>40170-88</v>
      </c>
      <c r="B653" s="470">
        <f>IF('Flow Indicator Parts List'!$D$2="CDN$",_xlfn.XLOOKUP(A653,Prices!A:A,Prices!D:D),IF('Flow Indicator Parts List'!$D$2="US$",_xlfn.XLOOKUP(CurrencyModifier!A653,Prices!A:A,Prices!E:E,"MISSING")))</f>
        <v>5.8860000000000001</v>
      </c>
    </row>
    <row r="654" spans="1:2">
      <c r="A654" t="str">
        <f>Prices!A660</f>
        <v>40170-89</v>
      </c>
      <c r="B654" s="470">
        <f>IF('Flow Indicator Parts List'!$D$2="CDN$",_xlfn.XLOOKUP(A654,Prices!A:A,Prices!D:D),IF('Flow Indicator Parts List'!$D$2="US$",_xlfn.XLOOKUP(CurrencyModifier!A654,Prices!A:A,Prices!E:E,"MISSING")))</f>
        <v>5.8860000000000001</v>
      </c>
    </row>
    <row r="655" spans="1:2">
      <c r="A655" t="str">
        <f>Prices!A661</f>
        <v>40170-90</v>
      </c>
      <c r="B655" s="470">
        <f>IF('Flow Indicator Parts List'!$D$2="CDN$",_xlfn.XLOOKUP(A655,Prices!A:A,Prices!D:D),IF('Flow Indicator Parts List'!$D$2="US$",_xlfn.XLOOKUP(CurrencyModifier!A655,Prices!A:A,Prices!E:E,"MISSING")))</f>
        <v>5.8860000000000001</v>
      </c>
    </row>
    <row r="656" spans="1:2">
      <c r="A656" t="str">
        <f>Prices!A662</f>
        <v>40170-91</v>
      </c>
      <c r="B656" s="470">
        <f>IF('Flow Indicator Parts List'!$D$2="CDN$",_xlfn.XLOOKUP(A656,Prices!A:A,Prices!D:D),IF('Flow Indicator Parts List'!$D$2="US$",_xlfn.XLOOKUP(CurrencyModifier!A656,Prices!A:A,Prices!E:E,"MISSING")))</f>
        <v>5.8860000000000001</v>
      </c>
    </row>
    <row r="657" spans="1:2">
      <c r="A657" t="str">
        <f>Prices!A663</f>
        <v>40170-92</v>
      </c>
      <c r="B657" s="470">
        <f>IF('Flow Indicator Parts List'!$D$2="CDN$",_xlfn.XLOOKUP(A657,Prices!A:A,Prices!D:D),IF('Flow Indicator Parts List'!$D$2="US$",_xlfn.XLOOKUP(CurrencyModifier!A657,Prices!A:A,Prices!E:E,"MISSING")))</f>
        <v>5.8860000000000001</v>
      </c>
    </row>
    <row r="658" spans="1:2">
      <c r="A658" t="str">
        <f>Prices!A664</f>
        <v>40170-93</v>
      </c>
      <c r="B658" s="470">
        <f>IF('Flow Indicator Parts List'!$D$2="CDN$",_xlfn.XLOOKUP(A658,Prices!A:A,Prices!D:D),IF('Flow Indicator Parts List'!$D$2="US$",_xlfn.XLOOKUP(CurrencyModifier!A658,Prices!A:A,Prices!E:E,"MISSING")))</f>
        <v>5.8860000000000001</v>
      </c>
    </row>
    <row r="659" spans="1:2">
      <c r="A659" t="str">
        <f>Prices!A665</f>
        <v>40179-05</v>
      </c>
      <c r="B659" s="470">
        <f>IF('Flow Indicator Parts List'!$D$2="CDN$",_xlfn.XLOOKUP(A659,Prices!A:A,Prices!D:D),IF('Flow Indicator Parts List'!$D$2="US$",_xlfn.XLOOKUP(CurrencyModifier!A659,Prices!A:A,Prices!E:E,"MISSING")))</f>
        <v>0.61499999999999999</v>
      </c>
    </row>
    <row r="660" spans="1:2">
      <c r="A660" t="str">
        <f>Prices!A666</f>
        <v>40180-05</v>
      </c>
      <c r="B660" s="470">
        <f>IF('Flow Indicator Parts List'!$D$2="CDN$",_xlfn.XLOOKUP(A660,Prices!A:A,Prices!D:D),IF('Flow Indicator Parts List'!$D$2="US$",_xlfn.XLOOKUP(CurrencyModifier!A660,Prices!A:A,Prices!E:E,"MISSING")))</f>
        <v>2.544</v>
      </c>
    </row>
    <row r="661" spans="1:2">
      <c r="A661" t="str">
        <f>Prices!A667</f>
        <v>40180-09</v>
      </c>
      <c r="B661" s="470">
        <f>IF('Flow Indicator Parts List'!$D$2="CDN$",_xlfn.XLOOKUP(A661,Prices!A:A,Prices!D:D),IF('Flow Indicator Parts List'!$D$2="US$",_xlfn.XLOOKUP(CurrencyModifier!A661,Prices!A:A,Prices!E:E,"MISSING")))</f>
        <v>2.544</v>
      </c>
    </row>
    <row r="662" spans="1:2">
      <c r="A662" t="str">
        <f>Prices!A668</f>
        <v>40182-047</v>
      </c>
      <c r="B662" s="470">
        <f>IF('Flow Indicator Parts List'!$D$2="CDN$",_xlfn.XLOOKUP(A662,Prices!A:A,Prices!D:D),IF('Flow Indicator Parts List'!$D$2="US$",_xlfn.XLOOKUP(CurrencyModifier!A662,Prices!A:A,Prices!E:E,"MISSING")))</f>
        <v>10.09</v>
      </c>
    </row>
    <row r="663" spans="1:2">
      <c r="A663" t="str">
        <f>Prices!A669</f>
        <v>40182-086</v>
      </c>
      <c r="B663" s="470">
        <f>IF('Flow Indicator Parts List'!$D$2="CDN$",_xlfn.XLOOKUP(A663,Prices!A:A,Prices!D:D),IF('Flow Indicator Parts List'!$D$2="US$",_xlfn.XLOOKUP(CurrencyModifier!A663,Prices!A:A,Prices!E:E,"MISSING")))</f>
        <v>10.09</v>
      </c>
    </row>
    <row r="664" spans="1:2">
      <c r="A664" t="str">
        <f>Prices!A670</f>
        <v>40182-104</v>
      </c>
      <c r="B664" s="470">
        <f>IF('Flow Indicator Parts List'!$D$2="CDN$",_xlfn.XLOOKUP(A664,Prices!A:A,Prices!D:D),IF('Flow Indicator Parts List'!$D$2="US$",_xlfn.XLOOKUP(CurrencyModifier!A664,Prices!A:A,Prices!E:E,"MISSING")))</f>
        <v>10.09</v>
      </c>
    </row>
    <row r="665" spans="1:2">
      <c r="A665" t="str">
        <f>Prices!A671</f>
        <v>40183-047</v>
      </c>
      <c r="B665" s="470">
        <f>IF('Flow Indicator Parts List'!$D$2="CDN$",_xlfn.XLOOKUP(A665,Prices!A:A,Prices!D:D),IF('Flow Indicator Parts List'!$D$2="US$",_xlfn.XLOOKUP(CurrencyModifier!A665,Prices!A:A,Prices!E:E,"MISSING")))</f>
        <v>12.038</v>
      </c>
    </row>
    <row r="666" spans="1:2">
      <c r="A666" t="str">
        <f>Prices!A672</f>
        <v>40183-067</v>
      </c>
      <c r="B666" s="470">
        <f>IF('Flow Indicator Parts List'!$D$2="CDN$",_xlfn.XLOOKUP(A666,Prices!A:A,Prices!D:D),IF('Flow Indicator Parts List'!$D$2="US$",_xlfn.XLOOKUP(CurrencyModifier!A666,Prices!A:A,Prices!E:E,"MISSING")))</f>
        <v>12.038</v>
      </c>
    </row>
    <row r="667" spans="1:2">
      <c r="A667" t="str">
        <f>Prices!A673</f>
        <v>40193-00</v>
      </c>
      <c r="B667" s="470">
        <f>IF('Flow Indicator Parts List'!$D$2="CDN$",_xlfn.XLOOKUP(A667,Prices!A:A,Prices!D:D),IF('Flow Indicator Parts List'!$D$2="US$",_xlfn.XLOOKUP(CurrencyModifier!A667,Prices!A:A,Prices!E:E,"MISSING")))</f>
        <v>6.915</v>
      </c>
    </row>
    <row r="668" spans="1:2">
      <c r="A668" t="str">
        <f>Prices!A674</f>
        <v>40193-01</v>
      </c>
      <c r="B668" s="470">
        <f>IF('Flow Indicator Parts List'!$D$2="CDN$",_xlfn.XLOOKUP(A668,Prices!A:A,Prices!D:D),IF('Flow Indicator Parts List'!$D$2="US$",_xlfn.XLOOKUP(CurrencyModifier!A668,Prices!A:A,Prices!E:E,"MISSING")))</f>
        <v>5.6740000000000004</v>
      </c>
    </row>
    <row r="669" spans="1:2">
      <c r="A669" t="str">
        <f>Prices!A675</f>
        <v>40193-02</v>
      </c>
      <c r="B669" s="470">
        <f>IF('Flow Indicator Parts List'!$D$2="CDN$",_xlfn.XLOOKUP(A669,Prices!A:A,Prices!D:D),IF('Flow Indicator Parts List'!$D$2="US$",_xlfn.XLOOKUP(CurrencyModifier!A669,Prices!A:A,Prices!E:E,"MISSING")))</f>
        <v>0.29899999999999999</v>
      </c>
    </row>
    <row r="670" spans="1:2">
      <c r="A670" t="str">
        <f>Prices!A676</f>
        <v>40193-S0</v>
      </c>
      <c r="B670" s="470">
        <f>IF('Flow Indicator Parts List'!$D$2="CDN$",_xlfn.XLOOKUP(A670,Prices!A:A,Prices!D:D),IF('Flow Indicator Parts List'!$D$2="US$",_xlfn.XLOOKUP(CurrencyModifier!A670,Prices!A:A,Prices!E:E,"MISSING")))</f>
        <v>6.915</v>
      </c>
    </row>
    <row r="671" spans="1:2">
      <c r="A671" t="str">
        <f>Prices!A677</f>
        <v>40194-00</v>
      </c>
      <c r="B671" s="470">
        <f>IF('Flow Indicator Parts List'!$D$2="CDN$",_xlfn.XLOOKUP(A671,Prices!A:A,Prices!D:D),IF('Flow Indicator Parts List'!$D$2="US$",_xlfn.XLOOKUP(CurrencyModifier!A671,Prices!A:A,Prices!E:E,"MISSING")))</f>
        <v>6.915</v>
      </c>
    </row>
    <row r="672" spans="1:2">
      <c r="A672" t="str">
        <f>Prices!A678</f>
        <v>40194-01</v>
      </c>
      <c r="B672" s="470">
        <f>IF('Flow Indicator Parts List'!$D$2="CDN$",_xlfn.XLOOKUP(A672,Prices!A:A,Prices!D:D),IF('Flow Indicator Parts List'!$D$2="US$",_xlfn.XLOOKUP(CurrencyModifier!A672,Prices!A:A,Prices!E:E,"MISSING")))</f>
        <v>5.6740000000000004</v>
      </c>
    </row>
    <row r="673" spans="1:2">
      <c r="A673" t="str">
        <f>Prices!A679</f>
        <v>40194-S0</v>
      </c>
      <c r="B673" s="470">
        <f>IF('Flow Indicator Parts List'!$D$2="CDN$",_xlfn.XLOOKUP(A673,Prices!A:A,Prices!D:D),IF('Flow Indicator Parts List'!$D$2="US$",_xlfn.XLOOKUP(CurrencyModifier!A673,Prices!A:A,Prices!E:E,"MISSING")))</f>
        <v>6.915</v>
      </c>
    </row>
    <row r="674" spans="1:2">
      <c r="A674" t="str">
        <f>Prices!A680</f>
        <v>40195-00</v>
      </c>
      <c r="B674" s="470">
        <f>IF('Flow Indicator Parts List'!$D$2="CDN$",_xlfn.XLOOKUP(A674,Prices!A:A,Prices!D:D),IF('Flow Indicator Parts List'!$D$2="US$",_xlfn.XLOOKUP(CurrencyModifier!A674,Prices!A:A,Prices!E:E,"MISSING")))</f>
        <v>17.824999999999999</v>
      </c>
    </row>
    <row r="675" spans="1:2">
      <c r="A675" t="str">
        <f>Prices!A681</f>
        <v>40195-01</v>
      </c>
      <c r="B675" s="470">
        <f>IF('Flow Indicator Parts List'!$D$2="CDN$",_xlfn.XLOOKUP(A675,Prices!A:A,Prices!D:D),IF('Flow Indicator Parts List'!$D$2="US$",_xlfn.XLOOKUP(CurrencyModifier!A675,Prices!A:A,Prices!E:E,"MISSING")))</f>
        <v>7.4029999999999996</v>
      </c>
    </row>
    <row r="676" spans="1:2">
      <c r="A676" t="str">
        <f>Prices!A682</f>
        <v>40195-S0</v>
      </c>
      <c r="B676" s="470">
        <f>IF('Flow Indicator Parts List'!$D$2="CDN$",_xlfn.XLOOKUP(A676,Prices!A:A,Prices!D:D),IF('Flow Indicator Parts List'!$D$2="US$",_xlfn.XLOOKUP(CurrencyModifier!A676,Prices!A:A,Prices!E:E,"MISSING")))</f>
        <v>17.824999999999999</v>
      </c>
    </row>
    <row r="677" spans="1:2">
      <c r="A677" t="str">
        <f>Prices!A683</f>
        <v>40196-00</v>
      </c>
      <c r="B677" s="470">
        <f>IF('Flow Indicator Parts List'!$D$2="CDN$",_xlfn.XLOOKUP(A677,Prices!A:A,Prices!D:D),IF('Flow Indicator Parts List'!$D$2="US$",_xlfn.XLOOKUP(CurrencyModifier!A677,Prices!A:A,Prices!E:E,"MISSING")))</f>
        <v>17.824999999999999</v>
      </c>
    </row>
    <row r="678" spans="1:2">
      <c r="A678" t="str">
        <f>Prices!A684</f>
        <v>40196-01</v>
      </c>
      <c r="B678" s="470">
        <f>IF('Flow Indicator Parts List'!$D$2="CDN$",_xlfn.XLOOKUP(A678,Prices!A:A,Prices!D:D),IF('Flow Indicator Parts List'!$D$2="US$",_xlfn.XLOOKUP(CurrencyModifier!A678,Prices!A:A,Prices!E:E,"MISSING")))</f>
        <v>7.4029999999999996</v>
      </c>
    </row>
    <row r="679" spans="1:2">
      <c r="A679" t="str">
        <f>Prices!A685</f>
        <v>40196-S0</v>
      </c>
      <c r="B679" s="470">
        <f>IF('Flow Indicator Parts List'!$D$2="CDN$",_xlfn.XLOOKUP(A679,Prices!A:A,Prices!D:D),IF('Flow Indicator Parts List'!$D$2="US$",_xlfn.XLOOKUP(CurrencyModifier!A679,Prices!A:A,Prices!E:E,"MISSING")))</f>
        <v>17.824999999999999</v>
      </c>
    </row>
    <row r="680" spans="1:2">
      <c r="A680" t="str">
        <f>Prices!A686</f>
        <v>40197-00</v>
      </c>
      <c r="B680" s="470">
        <f>IF('Flow Indicator Parts List'!$D$2="CDN$",_xlfn.XLOOKUP(A680,Prices!A:A,Prices!D:D),IF('Flow Indicator Parts List'!$D$2="US$",_xlfn.XLOOKUP(CurrencyModifier!A680,Prices!A:A,Prices!E:E,"MISSING")))</f>
        <v>21.928000000000001</v>
      </c>
    </row>
    <row r="681" spans="1:2">
      <c r="A681" t="str">
        <f>Prices!A687</f>
        <v>40197-01</v>
      </c>
      <c r="B681" s="470">
        <f>IF('Flow Indicator Parts List'!$D$2="CDN$",_xlfn.XLOOKUP(A681,Prices!A:A,Prices!D:D),IF('Flow Indicator Parts List'!$D$2="US$",_xlfn.XLOOKUP(CurrencyModifier!A681,Prices!A:A,Prices!E:E,"MISSING")))</f>
        <v>8.1150000000000002</v>
      </c>
    </row>
    <row r="682" spans="1:2">
      <c r="A682" t="str">
        <f>Prices!A688</f>
        <v>40197-05</v>
      </c>
      <c r="B682" s="470">
        <f>IF('Flow Indicator Parts List'!$D$2="CDN$",_xlfn.XLOOKUP(A682,Prices!A:A,Prices!D:D),IF('Flow Indicator Parts List'!$D$2="US$",_xlfn.XLOOKUP(CurrencyModifier!A682,Prices!A:A,Prices!E:E,"MISSING")))</f>
        <v>2.544</v>
      </c>
    </row>
    <row r="683" spans="1:2">
      <c r="A683" t="str">
        <f>Prices!A689</f>
        <v>40197-S0</v>
      </c>
      <c r="B683" s="470">
        <f>IF('Flow Indicator Parts List'!$D$2="CDN$",_xlfn.XLOOKUP(A683,Prices!A:A,Prices!D:D),IF('Flow Indicator Parts List'!$D$2="US$",_xlfn.XLOOKUP(CurrencyModifier!A683,Prices!A:A,Prices!E:E,"MISSING")))</f>
        <v>21.928000000000001</v>
      </c>
    </row>
    <row r="684" spans="1:2">
      <c r="A684" t="str">
        <f>Prices!A690</f>
        <v>40198-00</v>
      </c>
      <c r="B684" s="470">
        <f>IF('Flow Indicator Parts List'!$D$2="CDN$",_xlfn.XLOOKUP(A684,Prices!A:A,Prices!D:D),IF('Flow Indicator Parts List'!$D$2="US$",_xlfn.XLOOKUP(CurrencyModifier!A684,Prices!A:A,Prices!E:E,"MISSING")))</f>
        <v>21.928000000000001</v>
      </c>
    </row>
    <row r="685" spans="1:2">
      <c r="A685" t="str">
        <f>Prices!A691</f>
        <v>40198-01</v>
      </c>
      <c r="B685" s="470">
        <f>IF('Flow Indicator Parts List'!$D$2="CDN$",_xlfn.XLOOKUP(A685,Prices!A:A,Prices!D:D),IF('Flow Indicator Parts List'!$D$2="US$",_xlfn.XLOOKUP(CurrencyModifier!A685,Prices!A:A,Prices!E:E,"MISSING")))</f>
        <v>8.1150000000000002</v>
      </c>
    </row>
    <row r="686" spans="1:2">
      <c r="A686" t="str">
        <f>Prices!A692</f>
        <v>40198-S0</v>
      </c>
      <c r="B686" s="470">
        <f>IF('Flow Indicator Parts List'!$D$2="CDN$",_xlfn.XLOOKUP(A686,Prices!A:A,Prices!D:D),IF('Flow Indicator Parts List'!$D$2="US$",_xlfn.XLOOKUP(CurrencyModifier!A686,Prices!A:A,Prices!E:E,"MISSING")))</f>
        <v>21.928000000000001</v>
      </c>
    </row>
    <row r="687" spans="1:2">
      <c r="A687" t="str">
        <f>Prices!A693</f>
        <v>40198-SM</v>
      </c>
      <c r="B687" s="470">
        <f>IF('Flow Indicator Parts List'!$D$2="CDN$",_xlfn.XLOOKUP(A687,Prices!A:A,Prices!D:D),IF('Flow Indicator Parts List'!$D$2="US$",_xlfn.XLOOKUP(CurrencyModifier!A687,Prices!A:A,Prices!E:E,"MISSING")))</f>
        <v>0.67400000000000004</v>
      </c>
    </row>
    <row r="688" spans="1:2">
      <c r="A688" t="str">
        <f>Prices!A694</f>
        <v>40198-V0</v>
      </c>
      <c r="B688" s="470">
        <f>IF('Flow Indicator Parts List'!$D$2="CDN$",_xlfn.XLOOKUP(A688,Prices!A:A,Prices!D:D),IF('Flow Indicator Parts List'!$D$2="US$",_xlfn.XLOOKUP(CurrencyModifier!A688,Prices!A:A,Prices!E:E,"MISSING")))</f>
        <v>0.67400000000000004</v>
      </c>
    </row>
    <row r="689" spans="1:2">
      <c r="A689" t="str">
        <f>Prices!A695</f>
        <v>40199-00</v>
      </c>
      <c r="B689" s="470">
        <f>IF('Flow Indicator Parts List'!$D$2="CDN$",_xlfn.XLOOKUP(A689,Prices!A:A,Prices!D:D),IF('Flow Indicator Parts List'!$D$2="US$",_xlfn.XLOOKUP(CurrencyModifier!A689,Prices!A:A,Prices!E:E,"MISSING")))</f>
        <v>0.76500000000000001</v>
      </c>
    </row>
    <row r="690" spans="1:2">
      <c r="A690" t="str">
        <f>Prices!A696</f>
        <v>40200-00</v>
      </c>
      <c r="B690" s="470">
        <f>IF('Flow Indicator Parts List'!$D$2="CDN$",_xlfn.XLOOKUP(A690,Prices!A:A,Prices!D:D),IF('Flow Indicator Parts List'!$D$2="US$",_xlfn.XLOOKUP(CurrencyModifier!A690,Prices!A:A,Prices!E:E,"MISSING")))</f>
        <v>3.077</v>
      </c>
    </row>
    <row r="691" spans="1:2">
      <c r="A691" t="str">
        <f>Prices!A697</f>
        <v>40200-01</v>
      </c>
      <c r="B691" s="470">
        <f>IF('Flow Indicator Parts List'!$D$2="CDN$",_xlfn.XLOOKUP(A691,Prices!A:A,Prices!D:D),IF('Flow Indicator Parts List'!$D$2="US$",_xlfn.XLOOKUP(CurrencyModifier!A691,Prices!A:A,Prices!E:E,"MISSING")))</f>
        <v>2.8420000000000001</v>
      </c>
    </row>
    <row r="692" spans="1:2">
      <c r="A692" t="str">
        <f>Prices!A698</f>
        <v>40200-02</v>
      </c>
      <c r="B692" s="470">
        <f>IF('Flow Indicator Parts List'!$D$2="CDN$",_xlfn.XLOOKUP(A692,Prices!A:A,Prices!D:D),IF('Flow Indicator Parts List'!$D$2="US$",_xlfn.XLOOKUP(CurrencyModifier!A692,Prices!A:A,Prices!E:E,"MISSING")))</f>
        <v>0.30499999999999999</v>
      </c>
    </row>
    <row r="693" spans="1:2">
      <c r="A693" t="str">
        <f>Prices!A699</f>
        <v>40200-03</v>
      </c>
      <c r="B693" s="470">
        <f>IF('Flow Indicator Parts List'!$D$2="CDN$",_xlfn.XLOOKUP(A693,Prices!A:A,Prices!D:D),IF('Flow Indicator Parts List'!$D$2="US$",_xlfn.XLOOKUP(CurrencyModifier!A693,Prices!A:A,Prices!E:E,"MISSING")))</f>
        <v>0.34699999999999998</v>
      </c>
    </row>
    <row r="694" spans="1:2">
      <c r="A694" t="str">
        <f>Prices!A700</f>
        <v>40200-V0</v>
      </c>
      <c r="B694" s="470">
        <f>IF('Flow Indicator Parts List'!$D$2="CDN$",_xlfn.XLOOKUP(A694,Prices!A:A,Prices!D:D),IF('Flow Indicator Parts List'!$D$2="US$",_xlfn.XLOOKUP(CurrencyModifier!A694,Prices!A:A,Prices!E:E,"MISSING")))</f>
        <v>5.3289999999999997</v>
      </c>
    </row>
    <row r="695" spans="1:2">
      <c r="A695" t="str">
        <f>Prices!A701</f>
        <v>40200-V2</v>
      </c>
      <c r="B695" s="470">
        <f>IF('Flow Indicator Parts List'!$D$2="CDN$",_xlfn.XLOOKUP(A695,Prices!A:A,Prices!D:D),IF('Flow Indicator Parts List'!$D$2="US$",_xlfn.XLOOKUP(CurrencyModifier!A695,Prices!A:A,Prices!E:E,"MISSING")))</f>
        <v>2.5659999999999998</v>
      </c>
    </row>
    <row r="696" spans="1:2">
      <c r="A696" t="str">
        <f>Prices!A702</f>
        <v>40202-00</v>
      </c>
      <c r="B696" s="470">
        <f>IF('Flow Indicator Parts List'!$D$2="CDN$",_xlfn.XLOOKUP(A696,Prices!A:A,Prices!D:D),IF('Flow Indicator Parts List'!$D$2="US$",_xlfn.XLOOKUP(CurrencyModifier!A696,Prices!A:A,Prices!E:E,"MISSING")))</f>
        <v>3.0739999999999998</v>
      </c>
    </row>
    <row r="697" spans="1:2">
      <c r="A697" t="str">
        <f>Prices!A703</f>
        <v>40202-01</v>
      </c>
      <c r="B697" s="470">
        <f>IF('Flow Indicator Parts List'!$D$2="CDN$",_xlfn.XLOOKUP(A697,Prices!A:A,Prices!D:D),IF('Flow Indicator Parts List'!$D$2="US$",_xlfn.XLOOKUP(CurrencyModifier!A697,Prices!A:A,Prices!E:E,"MISSING")))</f>
        <v>2.84</v>
      </c>
    </row>
    <row r="698" spans="1:2">
      <c r="A698" t="str">
        <f>Prices!A704</f>
        <v>40203-00</v>
      </c>
      <c r="B698" s="470">
        <f>IF('Flow Indicator Parts List'!$D$2="CDN$",_xlfn.XLOOKUP(A698,Prices!A:A,Prices!D:D),IF('Flow Indicator Parts List'!$D$2="US$",_xlfn.XLOOKUP(CurrencyModifier!A698,Prices!A:A,Prices!E:E,"MISSING")))</f>
        <v>3.0739999999999998</v>
      </c>
    </row>
    <row r="699" spans="1:2">
      <c r="A699" t="str">
        <f>Prices!A705</f>
        <v>40203-01</v>
      </c>
      <c r="B699" s="470">
        <f>IF('Flow Indicator Parts List'!$D$2="CDN$",_xlfn.XLOOKUP(A699,Prices!A:A,Prices!D:D),IF('Flow Indicator Parts List'!$D$2="US$",_xlfn.XLOOKUP(CurrencyModifier!A699,Prices!A:A,Prices!E:E,"MISSING")))</f>
        <v>2.84</v>
      </c>
    </row>
    <row r="700" spans="1:2">
      <c r="A700" t="str">
        <f>Prices!A706</f>
        <v>40204-00</v>
      </c>
      <c r="B700" s="470">
        <f>IF('Flow Indicator Parts List'!$D$2="CDN$",_xlfn.XLOOKUP(A700,Prices!A:A,Prices!D:D),IF('Flow Indicator Parts List'!$D$2="US$",_xlfn.XLOOKUP(CurrencyModifier!A700,Prices!A:A,Prices!E:E,"MISSING")))</f>
        <v>3.077</v>
      </c>
    </row>
    <row r="701" spans="1:2">
      <c r="A701" t="str">
        <f>Prices!A707</f>
        <v>40204-01</v>
      </c>
      <c r="B701" s="470">
        <f>IF('Flow Indicator Parts List'!$D$2="CDN$",_xlfn.XLOOKUP(A701,Prices!A:A,Prices!D:D),IF('Flow Indicator Parts List'!$D$2="US$",_xlfn.XLOOKUP(CurrencyModifier!A701,Prices!A:A,Prices!E:E,"MISSING")))</f>
        <v>1.421</v>
      </c>
    </row>
    <row r="702" spans="1:2">
      <c r="A702" t="str">
        <f>Prices!A708</f>
        <v>40204-02</v>
      </c>
      <c r="B702" s="470">
        <f>IF('Flow Indicator Parts List'!$D$2="CDN$",_xlfn.XLOOKUP(A702,Prices!A:A,Prices!D:D),IF('Flow Indicator Parts List'!$D$2="US$",_xlfn.XLOOKUP(CurrencyModifier!A702,Prices!A:A,Prices!E:E,"MISSING")))</f>
        <v>1.36</v>
      </c>
    </row>
    <row r="703" spans="1:2">
      <c r="A703" t="str">
        <f>Prices!A709</f>
        <v>40204-S0</v>
      </c>
      <c r="B703" s="470">
        <f>IF('Flow Indicator Parts List'!$D$2="CDN$",_xlfn.XLOOKUP(A703,Prices!A:A,Prices!D:D),IF('Flow Indicator Parts List'!$D$2="US$",_xlfn.XLOOKUP(CurrencyModifier!A703,Prices!A:A,Prices!E:E,"MISSING")))</f>
        <v>2.7719999999999998</v>
      </c>
    </row>
    <row r="704" spans="1:2">
      <c r="A704" t="str">
        <f>Prices!A710</f>
        <v>40204-V0</v>
      </c>
      <c r="B704" s="470">
        <f>IF('Flow Indicator Parts List'!$D$2="CDN$",_xlfn.XLOOKUP(A704,Prices!A:A,Prices!D:D),IF('Flow Indicator Parts List'!$D$2="US$",_xlfn.XLOOKUP(CurrencyModifier!A704,Prices!A:A,Prices!E:E,"MISSING")))</f>
        <v>5.3390000000000004</v>
      </c>
    </row>
    <row r="705" spans="1:2">
      <c r="A705" t="str">
        <f>Prices!A711</f>
        <v>40205-00</v>
      </c>
      <c r="B705" s="470">
        <f>IF('Flow Indicator Parts List'!$D$2="CDN$",_xlfn.XLOOKUP(A705,Prices!A:A,Prices!D:D),IF('Flow Indicator Parts List'!$D$2="US$",_xlfn.XLOOKUP(CurrencyModifier!A705,Prices!A:A,Prices!E:E,"MISSING")))</f>
        <v>1.913</v>
      </c>
    </row>
    <row r="706" spans="1:2">
      <c r="A706" t="str">
        <f>Prices!A712</f>
        <v>40206-00</v>
      </c>
      <c r="B706" s="470">
        <f>IF('Flow Indicator Parts List'!$D$2="CDN$",_xlfn.XLOOKUP(A706,Prices!A:A,Prices!D:D),IF('Flow Indicator Parts List'!$D$2="US$",_xlfn.XLOOKUP(CurrencyModifier!A706,Prices!A:A,Prices!E:E,"MISSING")))</f>
        <v>6.7549999999999999</v>
      </c>
    </row>
    <row r="707" spans="1:2">
      <c r="A707" t="str">
        <f>Prices!A713</f>
        <v>40206-01</v>
      </c>
      <c r="B707" s="470">
        <f>IF('Flow Indicator Parts List'!$D$2="CDN$",_xlfn.XLOOKUP(A707,Prices!A:A,Prices!D:D),IF('Flow Indicator Parts List'!$D$2="US$",_xlfn.XLOOKUP(CurrencyModifier!A707,Prices!A:A,Prices!E:E,"MISSING")))</f>
        <v>5.8860000000000001</v>
      </c>
    </row>
    <row r="708" spans="1:2">
      <c r="A708" t="str">
        <f>Prices!A714</f>
        <v>40206-02</v>
      </c>
      <c r="B708" s="470">
        <f>IF('Flow Indicator Parts List'!$D$2="CDN$",_xlfn.XLOOKUP(A708,Prices!A:A,Prices!D:D),IF('Flow Indicator Parts List'!$D$2="US$",_xlfn.XLOOKUP(CurrencyModifier!A708,Prices!A:A,Prices!E:E,"MISSING")))</f>
        <v>1.36</v>
      </c>
    </row>
    <row r="709" spans="1:2">
      <c r="A709" t="str">
        <f>Prices!A715</f>
        <v>40206-S0</v>
      </c>
      <c r="B709" s="470">
        <f>IF('Flow Indicator Parts List'!$D$2="CDN$",_xlfn.XLOOKUP(A709,Prices!A:A,Prices!D:D),IF('Flow Indicator Parts List'!$D$2="US$",_xlfn.XLOOKUP(CurrencyModifier!A709,Prices!A:A,Prices!E:E,"MISSING")))</f>
        <v>6.45</v>
      </c>
    </row>
    <row r="710" spans="1:2">
      <c r="A710" t="str">
        <f>Prices!A716</f>
        <v>40206-V0</v>
      </c>
      <c r="B710" s="470">
        <f>IF('Flow Indicator Parts List'!$D$2="CDN$",_xlfn.XLOOKUP(A710,Prices!A:A,Prices!D:D),IF('Flow Indicator Parts List'!$D$2="US$",_xlfn.XLOOKUP(CurrencyModifier!A710,Prices!A:A,Prices!E:E,"MISSING")))</f>
        <v>9.0519999999999996</v>
      </c>
    </row>
    <row r="711" spans="1:2">
      <c r="A711" t="str">
        <f>Prices!A717</f>
        <v>40207-00</v>
      </c>
      <c r="B711" s="470">
        <f>IF('Flow Indicator Parts List'!$D$2="CDN$",_xlfn.XLOOKUP(A711,Prices!A:A,Prices!D:D),IF('Flow Indicator Parts List'!$D$2="US$",_xlfn.XLOOKUP(CurrencyModifier!A711,Prices!A:A,Prices!E:E,"MISSING")))</f>
        <v>3.077</v>
      </c>
    </row>
    <row r="712" spans="1:2">
      <c r="A712" t="str">
        <f>Prices!A718</f>
        <v>40207-01</v>
      </c>
      <c r="B712" s="470">
        <f>IF('Flow Indicator Parts List'!$D$2="CDN$",_xlfn.XLOOKUP(A712,Prices!A:A,Prices!D:D),IF('Flow Indicator Parts List'!$D$2="US$",_xlfn.XLOOKUP(CurrencyModifier!A712,Prices!A:A,Prices!E:E,"MISSING")))</f>
        <v>2.7719999999999998</v>
      </c>
    </row>
    <row r="713" spans="1:2">
      <c r="A713" t="str">
        <f>Prices!A719</f>
        <v>40208-00</v>
      </c>
      <c r="B713" s="470">
        <f>IF('Flow Indicator Parts List'!$D$2="CDN$",_xlfn.XLOOKUP(A713,Prices!A:A,Prices!D:D),IF('Flow Indicator Parts List'!$D$2="US$",_xlfn.XLOOKUP(CurrencyModifier!A713,Prices!A:A,Prices!E:E,"MISSING")))</f>
        <v>3.07</v>
      </c>
    </row>
    <row r="714" spans="1:2">
      <c r="A714" t="str">
        <f>Prices!A720</f>
        <v>40208-01</v>
      </c>
      <c r="B714" s="470">
        <f>IF('Flow Indicator Parts List'!$D$2="CDN$",_xlfn.XLOOKUP(A714,Prices!A:A,Prices!D:D),IF('Flow Indicator Parts List'!$D$2="US$",_xlfn.XLOOKUP(CurrencyModifier!A714,Prices!A:A,Prices!E:E,"MISSING")))</f>
        <v>2.8439999999999999</v>
      </c>
    </row>
    <row r="715" spans="1:2">
      <c r="A715" t="str">
        <f>Prices!A721</f>
        <v>40208-02</v>
      </c>
      <c r="B715" s="470">
        <f>IF('Flow Indicator Parts List'!$D$2="CDN$",_xlfn.XLOOKUP(A715,Prices!A:A,Prices!D:D),IF('Flow Indicator Parts List'!$D$2="US$",_xlfn.XLOOKUP(CurrencyModifier!A715,Prices!A:A,Prices!E:E,"MISSING")))</f>
        <v>0.30099999999999999</v>
      </c>
    </row>
    <row r="716" spans="1:2">
      <c r="A716" t="str">
        <f>Prices!A722</f>
        <v>40208-03</v>
      </c>
      <c r="B716" s="470">
        <f>IF('Flow Indicator Parts List'!$D$2="CDN$",_xlfn.XLOOKUP(A716,Prices!A:A,Prices!D:D),IF('Flow Indicator Parts List'!$D$2="US$",_xlfn.XLOOKUP(CurrencyModifier!A716,Prices!A:A,Prices!E:E,"MISSING")))</f>
        <v>0.30099999999999999</v>
      </c>
    </row>
    <row r="717" spans="1:2">
      <c r="A717" t="str">
        <f>Prices!A723</f>
        <v>40209-00</v>
      </c>
      <c r="B717" s="470">
        <f>IF('Flow Indicator Parts List'!$D$2="CDN$",_xlfn.XLOOKUP(A717,Prices!A:A,Prices!D:D),IF('Flow Indicator Parts List'!$D$2="US$",_xlfn.XLOOKUP(CurrencyModifier!A717,Prices!A:A,Prices!E:E,"MISSING")))</f>
        <v>3.07</v>
      </c>
    </row>
    <row r="718" spans="1:2">
      <c r="A718" t="str">
        <f>Prices!A724</f>
        <v>40209-01</v>
      </c>
      <c r="B718" s="470">
        <f>IF('Flow Indicator Parts List'!$D$2="CDN$",_xlfn.XLOOKUP(A718,Prices!A:A,Prices!D:D),IF('Flow Indicator Parts List'!$D$2="US$",_xlfn.XLOOKUP(CurrencyModifier!A718,Prices!A:A,Prices!E:E,"MISSING")))</f>
        <v>2.8439999999999999</v>
      </c>
    </row>
    <row r="719" spans="1:2">
      <c r="A719" t="str">
        <f>Prices!A725</f>
        <v>40210-00</v>
      </c>
      <c r="B719" s="470">
        <f>IF('Flow Indicator Parts List'!$D$2="CDN$",_xlfn.XLOOKUP(A719,Prices!A:A,Prices!D:D),IF('Flow Indicator Parts List'!$D$2="US$",_xlfn.XLOOKUP(CurrencyModifier!A719,Prices!A:A,Prices!E:E,"MISSING")))</f>
        <v>5.9980000000000002</v>
      </c>
    </row>
    <row r="720" spans="1:2">
      <c r="A720" t="str">
        <f>Prices!A726</f>
        <v>40210-01</v>
      </c>
      <c r="B720" s="470">
        <f>IF('Flow Indicator Parts List'!$D$2="CDN$",_xlfn.XLOOKUP(A720,Prices!A:A,Prices!D:D),IF('Flow Indicator Parts List'!$D$2="US$",_xlfn.XLOOKUP(CurrencyModifier!A720,Prices!A:A,Prices!E:E,"MISSING")))</f>
        <v>5.681</v>
      </c>
    </row>
    <row r="721" spans="1:2">
      <c r="A721" t="str">
        <f>Prices!A727</f>
        <v>40211-00</v>
      </c>
      <c r="B721" s="470">
        <f>IF('Flow Indicator Parts List'!$D$2="CDN$",_xlfn.XLOOKUP(A721,Prices!A:A,Prices!D:D),IF('Flow Indicator Parts List'!$D$2="US$",_xlfn.XLOOKUP(CurrencyModifier!A721,Prices!A:A,Prices!E:E,"MISSING")))</f>
        <v>8.1750000000000007</v>
      </c>
    </row>
    <row r="722" spans="1:2">
      <c r="A722" t="str">
        <f>Prices!A728</f>
        <v>40211-01</v>
      </c>
      <c r="B722" s="470">
        <f>IF('Flow Indicator Parts List'!$D$2="CDN$",_xlfn.XLOOKUP(A722,Prices!A:A,Prices!D:D),IF('Flow Indicator Parts List'!$D$2="US$",_xlfn.XLOOKUP(CurrencyModifier!A722,Prices!A:A,Prices!E:E,"MISSING")))</f>
        <v>7.8579999999999997</v>
      </c>
    </row>
    <row r="723" spans="1:2">
      <c r="A723" t="str">
        <f>Prices!A729</f>
        <v>40213-00</v>
      </c>
      <c r="B723" s="470">
        <f>IF('Flow Indicator Parts List'!$D$2="CDN$",_xlfn.XLOOKUP(A723,Prices!A:A,Prices!D:D),IF('Flow Indicator Parts List'!$D$2="US$",_xlfn.XLOOKUP(CurrencyModifier!A723,Prices!A:A,Prices!E:E,"MISSING")))</f>
        <v>6.165</v>
      </c>
    </row>
    <row r="724" spans="1:2">
      <c r="A724" t="str">
        <f>Prices!A730</f>
        <v>40213-01</v>
      </c>
      <c r="B724" s="470">
        <f>IF('Flow Indicator Parts List'!$D$2="CDN$",_xlfn.XLOOKUP(A724,Prices!A:A,Prices!D:D),IF('Flow Indicator Parts List'!$D$2="US$",_xlfn.XLOOKUP(CurrencyModifier!A724,Prices!A:A,Prices!E:E,"MISSING")))</f>
        <v>5.8860000000000001</v>
      </c>
    </row>
    <row r="725" spans="1:2">
      <c r="A725" t="str">
        <f>Prices!A731</f>
        <v>40214-00</v>
      </c>
      <c r="B725" s="470">
        <f>IF('Flow Indicator Parts List'!$D$2="CDN$",_xlfn.XLOOKUP(A725,Prices!A:A,Prices!D:D),IF('Flow Indicator Parts List'!$D$2="US$",_xlfn.XLOOKUP(CurrencyModifier!A725,Prices!A:A,Prices!E:E,"MISSING")))</f>
        <v>9.3140000000000001</v>
      </c>
    </row>
    <row r="726" spans="1:2">
      <c r="A726" t="str">
        <f>Prices!A732</f>
        <v>40214-01</v>
      </c>
      <c r="B726" s="470">
        <f>IF('Flow Indicator Parts List'!$D$2="CDN$",_xlfn.XLOOKUP(A726,Prices!A:A,Prices!D:D),IF('Flow Indicator Parts List'!$D$2="US$",_xlfn.XLOOKUP(CurrencyModifier!A726,Prices!A:A,Prices!E:E,"MISSING")))</f>
        <v>8.0719999999999992</v>
      </c>
    </row>
    <row r="727" spans="1:2">
      <c r="A727" t="str">
        <f>Prices!A733</f>
        <v>40216-00</v>
      </c>
      <c r="B727" s="470">
        <f>IF('Flow Indicator Parts List'!$D$2="CDN$",_xlfn.XLOOKUP(A727,Prices!A:A,Prices!D:D),IF('Flow Indicator Parts List'!$D$2="US$",_xlfn.XLOOKUP(CurrencyModifier!A727,Prices!A:A,Prices!E:E,"MISSING")))</f>
        <v>20.222999999999999</v>
      </c>
    </row>
    <row r="728" spans="1:2">
      <c r="A728" t="str">
        <f>Prices!A734</f>
        <v>40216-01</v>
      </c>
      <c r="B728" s="470">
        <f>IF('Flow Indicator Parts List'!$D$2="CDN$",_xlfn.XLOOKUP(A728,Prices!A:A,Prices!D:D),IF('Flow Indicator Parts List'!$D$2="US$",_xlfn.XLOOKUP(CurrencyModifier!A728,Prices!A:A,Prices!E:E,"MISSING")))</f>
        <v>10.516999999999999</v>
      </c>
    </row>
    <row r="729" spans="1:2">
      <c r="A729" t="str">
        <f>Prices!A735</f>
        <v>40218-00</v>
      </c>
      <c r="B729" s="470">
        <f>IF('Flow Indicator Parts List'!$D$2="CDN$",_xlfn.XLOOKUP(A729,Prices!A:A,Prices!D:D),IF('Flow Indicator Parts List'!$D$2="US$",_xlfn.XLOOKUP(CurrencyModifier!A729,Prices!A:A,Prices!E:E,"MISSING")))</f>
        <v>24.326000000000001</v>
      </c>
    </row>
    <row r="730" spans="1:2">
      <c r="A730" t="str">
        <f>Prices!A736</f>
        <v>40218-01</v>
      </c>
      <c r="B730" s="470">
        <f>IF('Flow Indicator Parts List'!$D$2="CDN$",_xlfn.XLOOKUP(A730,Prices!A:A,Prices!D:D),IF('Flow Indicator Parts List'!$D$2="US$",_xlfn.XLOOKUP(CurrencyModifier!A730,Prices!A:A,Prices!E:E,"MISSING")))</f>
        <v>10.513</v>
      </c>
    </row>
    <row r="731" spans="1:2">
      <c r="A731" t="str">
        <f>Prices!A737</f>
        <v>40225-00</v>
      </c>
      <c r="B731" s="470">
        <f>IF('Flow Indicator Parts List'!$D$2="CDN$",_xlfn.XLOOKUP(A731,Prices!A:A,Prices!D:D),IF('Flow Indicator Parts List'!$D$2="US$",_xlfn.XLOOKUP(CurrencyModifier!A731,Prices!A:A,Prices!E:E,"MISSING")))</f>
        <v>9.0009999999999994</v>
      </c>
    </row>
    <row r="732" spans="1:2">
      <c r="A732" t="str">
        <f>Prices!A738</f>
        <v>40225-01</v>
      </c>
      <c r="B732" s="470">
        <f>IF('Flow Indicator Parts List'!$D$2="CDN$",_xlfn.XLOOKUP(A732,Prices!A:A,Prices!D:D),IF('Flow Indicator Parts List'!$D$2="US$",_xlfn.XLOOKUP(CurrencyModifier!A732,Prices!A:A,Prices!E:E,"MISSING")))</f>
        <v>2.8420000000000001</v>
      </c>
    </row>
    <row r="733" spans="1:2">
      <c r="A733" t="str">
        <f>Prices!A739</f>
        <v>40225-02</v>
      </c>
      <c r="B733" s="470">
        <f>IF('Flow Indicator Parts List'!$D$2="CDN$",_xlfn.XLOOKUP(A733,Prices!A:A,Prices!D:D),IF('Flow Indicator Parts List'!$D$2="US$",_xlfn.XLOOKUP(CurrencyModifier!A733,Prices!A:A,Prices!E:E,"MISSING")))</f>
        <v>3.109</v>
      </c>
    </row>
    <row r="734" spans="1:2">
      <c r="A734" t="str">
        <f>Prices!A740</f>
        <v>40225-03</v>
      </c>
      <c r="B734" s="470">
        <f>IF('Flow Indicator Parts List'!$D$2="CDN$",_xlfn.XLOOKUP(A734,Prices!A:A,Prices!D:D),IF('Flow Indicator Parts List'!$D$2="US$",_xlfn.XLOOKUP(CurrencyModifier!A734,Prices!A:A,Prices!E:E,"MISSING")))</f>
        <v>3.3130000000000002</v>
      </c>
    </row>
    <row r="735" spans="1:2">
      <c r="A735" t="str">
        <f>Prices!A741</f>
        <v>40225-04</v>
      </c>
      <c r="B735" s="470">
        <f>IF('Flow Indicator Parts List'!$D$2="CDN$",_xlfn.XLOOKUP(A735,Prices!A:A,Prices!D:D),IF('Flow Indicator Parts List'!$D$2="US$",_xlfn.XLOOKUP(CurrencyModifier!A735,Prices!A:A,Prices!E:E,"MISSING")))</f>
        <v>0.30599999999999999</v>
      </c>
    </row>
    <row r="736" spans="1:2">
      <c r="A736" t="str">
        <f>Prices!A742</f>
        <v>40225-05</v>
      </c>
      <c r="B736" s="470">
        <f>IF('Flow Indicator Parts List'!$D$2="CDN$",_xlfn.XLOOKUP(A736,Prices!A:A,Prices!D:D),IF('Flow Indicator Parts List'!$D$2="US$",_xlfn.XLOOKUP(CurrencyModifier!A736,Prices!A:A,Prices!E:E,"MISSING")))</f>
        <v>2.274</v>
      </c>
    </row>
    <row r="737" spans="1:2">
      <c r="A737" t="str">
        <f>Prices!A743</f>
        <v>40225-06</v>
      </c>
      <c r="B737" s="470">
        <f>IF('Flow Indicator Parts List'!$D$2="CDN$",_xlfn.XLOOKUP(A737,Prices!A:A,Prices!D:D),IF('Flow Indicator Parts List'!$D$2="US$",_xlfn.XLOOKUP(CurrencyModifier!A737,Prices!A:A,Prices!E:E,"MISSING")))</f>
        <v>8.8179999999999996</v>
      </c>
    </row>
    <row r="738" spans="1:2">
      <c r="A738" t="str">
        <f>Prices!A744</f>
        <v>40225-07</v>
      </c>
      <c r="B738" s="470">
        <f>IF('Flow Indicator Parts List'!$D$2="CDN$",_xlfn.XLOOKUP(A738,Prices!A:A,Prices!D:D),IF('Flow Indicator Parts List'!$D$2="US$",_xlfn.XLOOKUP(CurrencyModifier!A738,Prices!A:A,Prices!E:E,"MISSING")))</f>
        <v>54.201999999999998</v>
      </c>
    </row>
    <row r="739" spans="1:2">
      <c r="A739" t="str">
        <f>Prices!A745</f>
        <v>40226-00</v>
      </c>
      <c r="B739" s="470">
        <f>IF('Flow Indicator Parts List'!$D$2="CDN$",_xlfn.XLOOKUP(A739,Prices!A:A,Prices!D:D),IF('Flow Indicator Parts List'!$D$2="US$",_xlfn.XLOOKUP(CurrencyModifier!A739,Prices!A:A,Prices!E:E,"MISSING")))</f>
        <v>10.744</v>
      </c>
    </row>
    <row r="740" spans="1:2">
      <c r="A740" t="str">
        <f>Prices!A746</f>
        <v>40226-01</v>
      </c>
      <c r="B740" s="470">
        <f>IF('Flow Indicator Parts List'!$D$2="CDN$",_xlfn.XLOOKUP(A740,Prices!A:A,Prices!D:D),IF('Flow Indicator Parts List'!$D$2="US$",_xlfn.XLOOKUP(CurrencyModifier!A740,Prices!A:A,Prices!E:E,"MISSING")))</f>
        <v>2.9860000000000002</v>
      </c>
    </row>
    <row r="741" spans="1:2">
      <c r="A741" t="str">
        <f>Prices!A747</f>
        <v>40227-00</v>
      </c>
      <c r="B741" s="470">
        <f>IF('Flow Indicator Parts List'!$D$2="CDN$",_xlfn.XLOOKUP(A741,Prices!A:A,Prices!D:D),IF('Flow Indicator Parts List'!$D$2="US$",_xlfn.XLOOKUP(CurrencyModifier!A741,Prices!A:A,Prices!E:E,"MISSING")))</f>
        <v>9.6150000000000002</v>
      </c>
    </row>
    <row r="742" spans="1:2">
      <c r="A742" t="str">
        <f>Prices!A748</f>
        <v>40227-01</v>
      </c>
      <c r="B742" s="470">
        <f>IF('Flow Indicator Parts List'!$D$2="CDN$",_xlfn.XLOOKUP(A742,Prices!A:A,Prices!D:D),IF('Flow Indicator Parts List'!$D$2="US$",_xlfn.XLOOKUP(CurrencyModifier!A742,Prices!A:A,Prices!E:E,"MISSING")))</f>
        <v>3.7839999999999998</v>
      </c>
    </row>
    <row r="743" spans="1:2">
      <c r="A743" t="str">
        <f>Prices!A749</f>
        <v>40228-00</v>
      </c>
      <c r="B743" s="470">
        <f>IF('Flow Indicator Parts List'!$D$2="CDN$",_xlfn.XLOOKUP(A743,Prices!A:A,Prices!D:D),IF('Flow Indicator Parts List'!$D$2="US$",_xlfn.XLOOKUP(CurrencyModifier!A743,Prices!A:A,Prices!E:E,"MISSING")))</f>
        <v>11.333</v>
      </c>
    </row>
    <row r="744" spans="1:2">
      <c r="A744" t="str">
        <f>Prices!A750</f>
        <v>40228-01</v>
      </c>
      <c r="B744" s="470">
        <f>IF('Flow Indicator Parts List'!$D$2="CDN$",_xlfn.XLOOKUP(A744,Prices!A:A,Prices!D:D),IF('Flow Indicator Parts List'!$D$2="US$",_xlfn.XLOOKUP(CurrencyModifier!A744,Prices!A:A,Prices!E:E,"MISSING")))</f>
        <v>4.07</v>
      </c>
    </row>
    <row r="745" spans="1:2">
      <c r="A745" t="str">
        <f>Prices!A751</f>
        <v>40229-00</v>
      </c>
      <c r="B745" s="470">
        <f>IF('Flow Indicator Parts List'!$D$2="CDN$",_xlfn.XLOOKUP(A745,Prices!A:A,Prices!D:D),IF('Flow Indicator Parts List'!$D$2="US$",_xlfn.XLOOKUP(CurrencyModifier!A745,Prices!A:A,Prices!E:E,"MISSING")))</f>
        <v>10.085000000000001</v>
      </c>
    </row>
    <row r="746" spans="1:2">
      <c r="A746" t="str">
        <f>Prices!A752</f>
        <v>40229-01</v>
      </c>
      <c r="B746" s="470">
        <f>IF('Flow Indicator Parts List'!$D$2="CDN$",_xlfn.XLOOKUP(A746,Prices!A:A,Prices!D:D),IF('Flow Indicator Parts List'!$D$2="US$",_xlfn.XLOOKUP(CurrencyModifier!A746,Prices!A:A,Prices!E:E,"MISSING")))</f>
        <v>4.4800000000000004</v>
      </c>
    </row>
    <row r="747" spans="1:2">
      <c r="A747" t="str">
        <f>Prices!A753</f>
        <v>40230-00</v>
      </c>
      <c r="B747" s="470">
        <f>IF('Flow Indicator Parts List'!$D$2="CDN$",_xlfn.XLOOKUP(A747,Prices!A:A,Prices!D:D),IF('Flow Indicator Parts List'!$D$2="US$",_xlfn.XLOOKUP(CurrencyModifier!A747,Prices!A:A,Prices!E:E,"MISSING")))</f>
        <v>11.824</v>
      </c>
    </row>
    <row r="748" spans="1:2">
      <c r="A748" t="str">
        <f>Prices!A754</f>
        <v>40230-01</v>
      </c>
      <c r="B748" s="470">
        <f>IF('Flow Indicator Parts List'!$D$2="CDN$",_xlfn.XLOOKUP(A748,Prices!A:A,Prices!D:D),IF('Flow Indicator Parts List'!$D$2="US$",_xlfn.XLOOKUP(CurrencyModifier!A748,Prices!A:A,Prices!E:E,"MISSING")))</f>
        <v>4.7249999999999996</v>
      </c>
    </row>
    <row r="749" spans="1:2">
      <c r="A749" t="str">
        <f>Prices!A755</f>
        <v>40231-00</v>
      </c>
      <c r="B749" s="470">
        <f>IF('Flow Indicator Parts List'!$D$2="CDN$",_xlfn.XLOOKUP(A749,Prices!A:A,Prices!D:D),IF('Flow Indicator Parts List'!$D$2="US$",_xlfn.XLOOKUP(CurrencyModifier!A749,Prices!A:A,Prices!E:E,"MISSING")))</f>
        <v>14.116</v>
      </c>
    </row>
    <row r="750" spans="1:2">
      <c r="A750" t="str">
        <f>Prices!A756</f>
        <v>40231-01</v>
      </c>
      <c r="B750" s="470">
        <f>IF('Flow Indicator Parts List'!$D$2="CDN$",_xlfn.XLOOKUP(A750,Prices!A:A,Prices!D:D),IF('Flow Indicator Parts List'!$D$2="US$",_xlfn.XLOOKUP(CurrencyModifier!A750,Prices!A:A,Prices!E:E,"MISSING")))</f>
        <v>7.077</v>
      </c>
    </row>
    <row r="751" spans="1:2">
      <c r="A751" t="str">
        <f>Prices!A757</f>
        <v>40231-02</v>
      </c>
      <c r="B751" s="470">
        <f>IF('Flow Indicator Parts List'!$D$2="CDN$",_xlfn.XLOOKUP(A751,Prices!A:A,Prices!D:D),IF('Flow Indicator Parts List'!$D$2="US$",_xlfn.XLOOKUP(CurrencyModifier!A751,Prices!A:A,Prices!E:E,"MISSING")))</f>
        <v>3.968</v>
      </c>
    </row>
    <row r="752" spans="1:2">
      <c r="A752" t="str">
        <f>Prices!A758</f>
        <v>40232-00</v>
      </c>
      <c r="B752" s="470">
        <f>IF('Flow Indicator Parts List'!$D$2="CDN$",_xlfn.XLOOKUP(A752,Prices!A:A,Prices!D:D),IF('Flow Indicator Parts List'!$D$2="US$",_xlfn.XLOOKUP(CurrencyModifier!A752,Prices!A:A,Prices!E:E,"MISSING")))</f>
        <v>20.969000000000001</v>
      </c>
    </row>
    <row r="753" spans="1:2">
      <c r="A753" t="str">
        <f>Prices!A759</f>
        <v>40233-00</v>
      </c>
      <c r="B753" s="470">
        <f>IF('Flow Indicator Parts List'!$D$2="CDN$",_xlfn.XLOOKUP(A753,Prices!A:A,Prices!D:D),IF('Flow Indicator Parts List'!$D$2="US$",_xlfn.XLOOKUP(CurrencyModifier!A753,Prices!A:A,Prices!E:E,"MISSING")))</f>
        <v>14.73</v>
      </c>
    </row>
    <row r="754" spans="1:2">
      <c r="A754" t="str">
        <f>Prices!A760</f>
        <v>40234-00</v>
      </c>
      <c r="B754" s="470">
        <f>IF('Flow Indicator Parts List'!$D$2="CDN$",_xlfn.XLOOKUP(A754,Prices!A:A,Prices!D:D),IF('Flow Indicator Parts List'!$D$2="US$",_xlfn.XLOOKUP(CurrencyModifier!A754,Prices!A:A,Prices!E:E,"MISSING")))</f>
        <v>21.582999999999998</v>
      </c>
    </row>
    <row r="755" spans="1:2">
      <c r="A755" t="str">
        <f>Prices!A761</f>
        <v>40235-00</v>
      </c>
      <c r="B755" s="470">
        <f>IF('Flow Indicator Parts List'!$D$2="CDN$",_xlfn.XLOOKUP(A755,Prices!A:A,Prices!D:D),IF('Flow Indicator Parts List'!$D$2="US$",_xlfn.XLOOKUP(CurrencyModifier!A755,Prices!A:A,Prices!E:E,"MISSING")))</f>
        <v>15.2</v>
      </c>
    </row>
    <row r="756" spans="1:2">
      <c r="A756" t="str">
        <f>Prices!A762</f>
        <v>40236-00</v>
      </c>
      <c r="B756" s="470">
        <f>IF('Flow Indicator Parts List'!$D$2="CDN$",_xlfn.XLOOKUP(A756,Prices!A:A,Prices!D:D),IF('Flow Indicator Parts List'!$D$2="US$",_xlfn.XLOOKUP(CurrencyModifier!A756,Prices!A:A,Prices!E:E,"MISSING")))</f>
        <v>22.053000000000001</v>
      </c>
    </row>
    <row r="757" spans="1:2">
      <c r="A757" t="str">
        <f>Prices!A763</f>
        <v>40237-00</v>
      </c>
      <c r="B757" s="470">
        <f>IF('Flow Indicator Parts List'!$D$2="CDN$",_xlfn.XLOOKUP(A757,Prices!A:A,Prices!D:D),IF('Flow Indicator Parts List'!$D$2="US$",_xlfn.XLOOKUP(CurrencyModifier!A757,Prices!A:A,Prices!E:E,"MISSING")))</f>
        <v>16.366</v>
      </c>
    </row>
    <row r="758" spans="1:2">
      <c r="A758" t="str">
        <f>Prices!A764</f>
        <v>40237-01</v>
      </c>
      <c r="B758" s="470">
        <f>IF('Flow Indicator Parts List'!$D$2="CDN$",_xlfn.XLOOKUP(A758,Prices!A:A,Prices!D:D),IF('Flow Indicator Parts List'!$D$2="US$",_xlfn.XLOOKUP(CurrencyModifier!A758,Prices!A:A,Prices!E:E,"MISSING")))</f>
        <v>2.4340000000000002</v>
      </c>
    </row>
    <row r="759" spans="1:2">
      <c r="A759" t="str">
        <f>Prices!A765</f>
        <v>40237-02</v>
      </c>
      <c r="B759" s="470">
        <f>IF('Flow Indicator Parts List'!$D$2="CDN$",_xlfn.XLOOKUP(A759,Prices!A:A,Prices!D:D),IF('Flow Indicator Parts List'!$D$2="US$",_xlfn.XLOOKUP(CurrencyModifier!A759,Prices!A:A,Prices!E:E,"MISSING")))</f>
        <v>2.1269999999999998</v>
      </c>
    </row>
    <row r="760" spans="1:2">
      <c r="A760" t="str">
        <f>Prices!A766</f>
        <v>40237-03</v>
      </c>
      <c r="B760" s="470">
        <f>IF('Flow Indicator Parts List'!$D$2="CDN$",_xlfn.XLOOKUP(A760,Prices!A:A,Prices!D:D),IF('Flow Indicator Parts List'!$D$2="US$",_xlfn.XLOOKUP(CurrencyModifier!A760,Prices!A:A,Prices!E:E,"MISSING")))</f>
        <v>6.4640000000000004</v>
      </c>
    </row>
    <row r="761" spans="1:2">
      <c r="A761" t="str">
        <f>Prices!A767</f>
        <v>40238-00</v>
      </c>
      <c r="B761" s="470">
        <f>IF('Flow Indicator Parts List'!$D$2="CDN$",_xlfn.XLOOKUP(A761,Prices!A:A,Prices!D:D),IF('Flow Indicator Parts List'!$D$2="US$",_xlfn.XLOOKUP(CurrencyModifier!A761,Prices!A:A,Prices!E:E,"MISSING")))</f>
        <v>25.510999999999999</v>
      </c>
    </row>
    <row r="762" spans="1:2">
      <c r="A762" t="str">
        <f>Prices!A768</f>
        <v>40239-00</v>
      </c>
      <c r="B762" s="470">
        <f>IF('Flow Indicator Parts List'!$D$2="CDN$",_xlfn.XLOOKUP(A762,Prices!A:A,Prices!D:D),IF('Flow Indicator Parts List'!$D$2="US$",_xlfn.XLOOKUP(CurrencyModifier!A762,Prices!A:A,Prices!E:E,"MISSING")))</f>
        <v>17.021000000000001</v>
      </c>
    </row>
    <row r="763" spans="1:2">
      <c r="A763" t="str">
        <f>Prices!A769</f>
        <v>40240-00</v>
      </c>
      <c r="B763" s="470">
        <f>IF('Flow Indicator Parts List'!$D$2="CDN$",_xlfn.XLOOKUP(A763,Prices!A:A,Prices!D:D),IF('Flow Indicator Parts List'!$D$2="US$",_xlfn.XLOOKUP(CurrencyModifier!A763,Prices!A:A,Prices!E:E,"MISSING")))</f>
        <v>26.146000000000001</v>
      </c>
    </row>
    <row r="764" spans="1:2">
      <c r="A764" t="str">
        <f>Prices!A770</f>
        <v>40241-00</v>
      </c>
      <c r="B764" s="470">
        <f>IF('Flow Indicator Parts List'!$D$2="CDN$",_xlfn.XLOOKUP(A764,Prices!A:A,Prices!D:D),IF('Flow Indicator Parts List'!$D$2="US$",_xlfn.XLOOKUP(CurrencyModifier!A764,Prices!A:A,Prices!E:E,"MISSING")))</f>
        <v>17.491</v>
      </c>
    </row>
    <row r="765" spans="1:2">
      <c r="A765" t="str">
        <f>Prices!A771</f>
        <v>40242-00</v>
      </c>
      <c r="B765" s="470">
        <f>IF('Flow Indicator Parts List'!$D$2="CDN$",_xlfn.XLOOKUP(A765,Prices!A:A,Prices!D:D),IF('Flow Indicator Parts List'!$D$2="US$",_xlfn.XLOOKUP(CurrencyModifier!A765,Prices!A:A,Prices!E:E,"MISSING")))</f>
        <v>26.594000000000001</v>
      </c>
    </row>
    <row r="766" spans="1:2">
      <c r="A766" t="str">
        <f>Prices!A772</f>
        <v>40243-00</v>
      </c>
      <c r="B766" s="470">
        <f>IF('Flow Indicator Parts List'!$D$2="CDN$",_xlfn.XLOOKUP(A766,Prices!A:A,Prices!D:D),IF('Flow Indicator Parts List'!$D$2="US$",_xlfn.XLOOKUP(CurrencyModifier!A766,Prices!A:A,Prices!E:E,"MISSING")))</f>
        <v>9.0009999999999994</v>
      </c>
    </row>
    <row r="767" spans="1:2">
      <c r="A767" t="str">
        <f>Prices!A773</f>
        <v>40243-01</v>
      </c>
      <c r="B767" s="470">
        <f>IF('Flow Indicator Parts List'!$D$2="CDN$",_xlfn.XLOOKUP(A767,Prices!A:A,Prices!D:D),IF('Flow Indicator Parts List'!$D$2="US$",_xlfn.XLOOKUP(CurrencyModifier!A767,Prices!A:A,Prices!E:E,"MISSING")))</f>
        <v>2.843</v>
      </c>
    </row>
    <row r="768" spans="1:2">
      <c r="A768" t="str">
        <f>Prices!A774</f>
        <v>40244-00</v>
      </c>
      <c r="B768" s="470">
        <f>IF('Flow Indicator Parts List'!$D$2="CDN$",_xlfn.XLOOKUP(A768,Prices!A:A,Prices!D:D),IF('Flow Indicator Parts List'!$D$2="US$",_xlfn.XLOOKUP(CurrencyModifier!A768,Prices!A:A,Prices!E:E,"MISSING")))</f>
        <v>14.116</v>
      </c>
    </row>
    <row r="769" spans="1:2">
      <c r="A769" t="str">
        <f>Prices!A775</f>
        <v>40245-00</v>
      </c>
      <c r="B769" s="470">
        <f>IF('Flow Indicator Parts List'!$D$2="CDN$",_xlfn.XLOOKUP(A769,Prices!A:A,Prices!D:D),IF('Flow Indicator Parts List'!$D$2="US$",_xlfn.XLOOKUP(CurrencyModifier!A769,Prices!A:A,Prices!E:E,"MISSING")))</f>
        <v>16.373000000000001</v>
      </c>
    </row>
    <row r="770" spans="1:2">
      <c r="A770" t="str">
        <f>Prices!A776</f>
        <v>40247-00</v>
      </c>
      <c r="B770" s="470">
        <f>IF('Flow Indicator Parts List'!$D$2="CDN$",_xlfn.XLOOKUP(A770,Prices!A:A,Prices!D:D),IF('Flow Indicator Parts List'!$D$2="US$",_xlfn.XLOOKUP(CurrencyModifier!A770,Prices!A:A,Prices!E:E,"MISSING")))</f>
        <v>2.226</v>
      </c>
    </row>
    <row r="771" spans="1:2">
      <c r="A771" t="str">
        <f>Prices!A777</f>
        <v>40248-00</v>
      </c>
      <c r="B771" s="470">
        <f>IF('Flow Indicator Parts List'!$D$2="CDN$",_xlfn.XLOOKUP(A771,Prices!A:A,Prices!D:D),IF('Flow Indicator Parts List'!$D$2="US$",_xlfn.XLOOKUP(CurrencyModifier!A771,Prices!A:A,Prices!E:E,"MISSING")))</f>
        <v>2.226</v>
      </c>
    </row>
    <row r="772" spans="1:2">
      <c r="A772" t="str">
        <f>Prices!A778</f>
        <v>40249-00</v>
      </c>
      <c r="B772" s="470">
        <f>IF('Flow Indicator Parts List'!$D$2="CDN$",_xlfn.XLOOKUP(A772,Prices!A:A,Prices!D:D),IF('Flow Indicator Parts List'!$D$2="US$",_xlfn.XLOOKUP(CurrencyModifier!A772,Prices!A:A,Prices!E:E,"MISSING")))</f>
        <v>2.226</v>
      </c>
    </row>
    <row r="773" spans="1:2">
      <c r="A773" t="str">
        <f>Prices!A779</f>
        <v>40250-00</v>
      </c>
      <c r="B773" s="470">
        <f>IF('Flow Indicator Parts List'!$D$2="CDN$",_xlfn.XLOOKUP(A773,Prices!A:A,Prices!D:D),IF('Flow Indicator Parts List'!$D$2="US$",_xlfn.XLOOKUP(CurrencyModifier!A773,Prices!A:A,Prices!E:E,"MISSING")))</f>
        <v>2.6349999999999998</v>
      </c>
    </row>
    <row r="774" spans="1:2">
      <c r="A774" t="str">
        <f>Prices!A780</f>
        <v>40250-01</v>
      </c>
      <c r="B774" s="470">
        <f>IF('Flow Indicator Parts List'!$D$2="CDN$",_xlfn.XLOOKUP(A774,Prices!A:A,Prices!D:D),IF('Flow Indicator Parts List'!$D$2="US$",_xlfn.XLOOKUP(CurrencyModifier!A774,Prices!A:A,Prices!E:E,"MISSING")))</f>
        <v>1.7</v>
      </c>
    </row>
    <row r="775" spans="1:2">
      <c r="A775" t="str">
        <f>Prices!A781</f>
        <v>40250-02</v>
      </c>
      <c r="B775" s="470">
        <f>IF('Flow Indicator Parts List'!$D$2="CDN$",_xlfn.XLOOKUP(A775,Prices!A:A,Prices!D:D),IF('Flow Indicator Parts List'!$D$2="US$",_xlfn.XLOOKUP(CurrencyModifier!A775,Prices!A:A,Prices!E:E,"MISSING")))</f>
        <v>0.40799999999999997</v>
      </c>
    </row>
    <row r="776" spans="1:2">
      <c r="A776" t="str">
        <f>Prices!A782</f>
        <v>40250-03</v>
      </c>
      <c r="B776" s="470">
        <f>IF('Flow Indicator Parts List'!$D$2="CDN$",_xlfn.XLOOKUP(A776,Prices!A:A,Prices!D:D),IF('Flow Indicator Parts List'!$D$2="US$",_xlfn.XLOOKUP(CurrencyModifier!A776,Prices!A:A,Prices!E:E,"MISSING")))</f>
        <v>0.20799999999999999</v>
      </c>
    </row>
    <row r="777" spans="1:2">
      <c r="A777" t="str">
        <f>Prices!A783</f>
        <v>40251-00</v>
      </c>
      <c r="B777" s="470">
        <f>IF('Flow Indicator Parts List'!$D$2="CDN$",_xlfn.XLOOKUP(A777,Prices!A:A,Prices!D:D),IF('Flow Indicator Parts List'!$D$2="US$",_xlfn.XLOOKUP(CurrencyModifier!A777,Prices!A:A,Prices!E:E,"MISSING")))</f>
        <v>2.6349999999999998</v>
      </c>
    </row>
    <row r="778" spans="1:2">
      <c r="A778" t="str">
        <f>Prices!A784</f>
        <v>40251-01</v>
      </c>
      <c r="B778" s="470">
        <f>IF('Flow Indicator Parts List'!$D$2="CDN$",_xlfn.XLOOKUP(A778,Prices!A:A,Prices!D:D),IF('Flow Indicator Parts List'!$D$2="US$",_xlfn.XLOOKUP(CurrencyModifier!A778,Prices!A:A,Prices!E:E,"MISSING")))</f>
        <v>1.7</v>
      </c>
    </row>
    <row r="779" spans="1:2">
      <c r="A779" t="str">
        <f>Prices!A785</f>
        <v>40251-02</v>
      </c>
      <c r="B779" s="470">
        <f>IF('Flow Indicator Parts List'!$D$2="CDN$",_xlfn.XLOOKUP(A779,Prices!A:A,Prices!D:D),IF('Flow Indicator Parts List'!$D$2="US$",_xlfn.XLOOKUP(CurrencyModifier!A779,Prices!A:A,Prices!E:E,"MISSING")))</f>
        <v>0.40799999999999997</v>
      </c>
    </row>
    <row r="780" spans="1:2">
      <c r="A780" t="str">
        <f>Prices!A786</f>
        <v>40251-03</v>
      </c>
      <c r="B780" s="470">
        <f>IF('Flow Indicator Parts List'!$D$2="CDN$",_xlfn.XLOOKUP(A780,Prices!A:A,Prices!D:D),IF('Flow Indicator Parts List'!$D$2="US$",_xlfn.XLOOKUP(CurrencyModifier!A780,Prices!A:A,Prices!E:E,"MISSING")))</f>
        <v>0.20799999999999999</v>
      </c>
    </row>
    <row r="781" spans="1:2">
      <c r="A781" t="str">
        <f>Prices!A787</f>
        <v>40254-00</v>
      </c>
      <c r="B781" s="470">
        <f>IF('Flow Indicator Parts List'!$D$2="CDN$",_xlfn.XLOOKUP(A781,Prices!A:A,Prices!D:D),IF('Flow Indicator Parts List'!$D$2="US$",_xlfn.XLOOKUP(CurrencyModifier!A781,Prices!A:A,Prices!E:E,"MISSING")))</f>
        <v>9.327</v>
      </c>
    </row>
    <row r="782" spans="1:2">
      <c r="A782" t="str">
        <f>Prices!A788</f>
        <v>40254-02</v>
      </c>
      <c r="B782" s="470">
        <f>IF('Flow Indicator Parts List'!$D$2="CDN$",_xlfn.XLOOKUP(A782,Prices!A:A,Prices!D:D),IF('Flow Indicator Parts List'!$D$2="US$",_xlfn.XLOOKUP(CurrencyModifier!A782,Prices!A:A,Prices!E:E,"MISSING")))</f>
        <v>7.6509999999999998</v>
      </c>
    </row>
    <row r="783" spans="1:2">
      <c r="A783" t="str">
        <f>Prices!A789</f>
        <v>40255-00</v>
      </c>
      <c r="B783" s="470">
        <f>IF('Flow Indicator Parts List'!$D$2="CDN$",_xlfn.XLOOKUP(A783,Prices!A:A,Prices!D:D),IF('Flow Indicator Parts List'!$D$2="US$",_xlfn.XLOOKUP(CurrencyModifier!A783,Prices!A:A,Prices!E:E,"MISSING")))</f>
        <v>24.038</v>
      </c>
    </row>
    <row r="784" spans="1:2">
      <c r="A784" t="str">
        <f>Prices!A790</f>
        <v>40255-03</v>
      </c>
      <c r="B784" s="470">
        <f>IF('Flow Indicator Parts List'!$D$2="CDN$",_xlfn.XLOOKUP(A784,Prices!A:A,Prices!D:D),IF('Flow Indicator Parts List'!$D$2="US$",_xlfn.XLOOKUP(CurrencyModifier!A784,Prices!A:A,Prices!E:E,"MISSING")))</f>
        <v>6.6779999999999999</v>
      </c>
    </row>
    <row r="785" spans="1:2">
      <c r="A785" t="str">
        <f>Prices!A791</f>
        <v>40256-00</v>
      </c>
      <c r="B785" s="470">
        <f>IF('Flow Indicator Parts List'!$D$2="CDN$",_xlfn.XLOOKUP(A785,Prices!A:A,Prices!D:D),IF('Flow Indicator Parts List'!$D$2="US$",_xlfn.XLOOKUP(CurrencyModifier!A785,Prices!A:A,Prices!E:E,"MISSING")))</f>
        <v>9.327</v>
      </c>
    </row>
    <row r="786" spans="1:2">
      <c r="A786" t="str">
        <f>Prices!A792</f>
        <v>40256-02</v>
      </c>
      <c r="B786" s="470">
        <f>IF('Flow Indicator Parts List'!$D$2="CDN$",_xlfn.XLOOKUP(A786,Prices!A:A,Prices!D:D),IF('Flow Indicator Parts List'!$D$2="US$",_xlfn.XLOOKUP(CurrencyModifier!A786,Prices!A:A,Prices!E:E,"MISSING")))</f>
        <v>7.6529999999999996</v>
      </c>
    </row>
    <row r="787" spans="1:2">
      <c r="A787" t="str">
        <f>Prices!A793</f>
        <v>40257-00</v>
      </c>
      <c r="B787" s="470">
        <f>IF('Flow Indicator Parts List'!$D$2="CDN$",_xlfn.XLOOKUP(A787,Prices!A:A,Prices!D:D),IF('Flow Indicator Parts List'!$D$2="US$",_xlfn.XLOOKUP(CurrencyModifier!A787,Prices!A:A,Prices!E:E,"MISSING")))</f>
        <v>24.038</v>
      </c>
    </row>
    <row r="788" spans="1:2">
      <c r="A788" t="str">
        <f>Prices!A794</f>
        <v>40257-P15</v>
      </c>
      <c r="B788" s="470">
        <f>IF('Flow Indicator Parts List'!$D$2="CDN$",_xlfn.XLOOKUP(A788,Prices!A:A,Prices!D:D),IF('Flow Indicator Parts List'!$D$2="US$",_xlfn.XLOOKUP(CurrencyModifier!A788,Prices!A:A,Prices!E:E,"MISSING")))</f>
        <v>24.038</v>
      </c>
    </row>
    <row r="789" spans="1:2">
      <c r="A789" t="str">
        <f>Prices!A795</f>
        <v>40258-00</v>
      </c>
      <c r="B789" s="470">
        <f>IF('Flow Indicator Parts List'!$D$2="CDN$",_xlfn.XLOOKUP(A789,Prices!A:A,Prices!D:D),IF('Flow Indicator Parts List'!$D$2="US$",_xlfn.XLOOKUP(CurrencyModifier!A789,Prices!A:A,Prices!E:E,"MISSING")))</f>
        <v>26.440999999999999</v>
      </c>
    </row>
    <row r="790" spans="1:2">
      <c r="A790" t="str">
        <f>Prices!A796</f>
        <v>40258-01</v>
      </c>
      <c r="B790" s="470">
        <f>IF('Flow Indicator Parts List'!$D$2="CDN$",_xlfn.XLOOKUP(A790,Prices!A:A,Prices!D:D),IF('Flow Indicator Parts List'!$D$2="US$",_xlfn.XLOOKUP(CurrencyModifier!A790,Prices!A:A,Prices!E:E,"MISSING")))</f>
        <v>12.388</v>
      </c>
    </row>
    <row r="791" spans="1:2">
      <c r="A791" t="str">
        <f>Prices!A797</f>
        <v>40258-P15</v>
      </c>
      <c r="B791" s="470">
        <f>IF('Flow Indicator Parts List'!$D$2="CDN$",_xlfn.XLOOKUP(A791,Prices!A:A,Prices!D:D),IF('Flow Indicator Parts List'!$D$2="US$",_xlfn.XLOOKUP(CurrencyModifier!A791,Prices!A:A,Prices!E:E,"MISSING")))</f>
        <v>26.44</v>
      </c>
    </row>
    <row r="792" spans="1:2">
      <c r="A792" t="str">
        <f>Prices!A798</f>
        <v>40259-00</v>
      </c>
      <c r="B792" s="470">
        <f>IF('Flow Indicator Parts List'!$D$2="CDN$",_xlfn.XLOOKUP(A792,Prices!A:A,Prices!D:D),IF('Flow Indicator Parts List'!$D$2="US$",_xlfn.XLOOKUP(CurrencyModifier!A792,Prices!A:A,Prices!E:E,"MISSING")))</f>
        <v>10.265000000000001</v>
      </c>
    </row>
    <row r="793" spans="1:2">
      <c r="A793" t="str">
        <f>Prices!A799</f>
        <v>40259-01</v>
      </c>
      <c r="B793" s="470">
        <f>IF('Flow Indicator Parts List'!$D$2="CDN$",_xlfn.XLOOKUP(A793,Prices!A:A,Prices!D:D),IF('Flow Indicator Parts List'!$D$2="US$",_xlfn.XLOOKUP(CurrencyModifier!A793,Prices!A:A,Prices!E:E,"MISSING")))</f>
        <v>8.5809999999999995</v>
      </c>
    </row>
    <row r="794" spans="1:2">
      <c r="A794" t="str">
        <f>Prices!A800</f>
        <v>40259-P15</v>
      </c>
      <c r="B794" s="470">
        <f>IF('Flow Indicator Parts List'!$D$2="CDN$",_xlfn.XLOOKUP(A794,Prices!A:A,Prices!D:D),IF('Flow Indicator Parts List'!$D$2="US$",_xlfn.XLOOKUP(CurrencyModifier!A794,Prices!A:A,Prices!E:E,"MISSING")))</f>
        <v>10.265000000000001</v>
      </c>
    </row>
    <row r="795" spans="1:2">
      <c r="A795" t="str">
        <f>Prices!A801</f>
        <v>40260-00</v>
      </c>
      <c r="B795" s="470">
        <f>IF('Flow Indicator Parts List'!$D$2="CDN$",_xlfn.XLOOKUP(A795,Prices!A:A,Prices!D:D),IF('Flow Indicator Parts List'!$D$2="US$",_xlfn.XLOOKUP(CurrencyModifier!A795,Prices!A:A,Prices!E:E,"MISSING")))</f>
        <v>0.317</v>
      </c>
    </row>
    <row r="796" spans="1:2">
      <c r="A796" t="str">
        <f>Prices!A802</f>
        <v>40260-V0</v>
      </c>
      <c r="B796" s="470">
        <f>IF('Flow Indicator Parts List'!$D$2="CDN$",_xlfn.XLOOKUP(A796,Prices!A:A,Prices!D:D),IF('Flow Indicator Parts List'!$D$2="US$",_xlfn.XLOOKUP(CurrencyModifier!A796,Prices!A:A,Prices!E:E,"MISSING")))</f>
        <v>2.5739999999999998</v>
      </c>
    </row>
    <row r="797" spans="1:2">
      <c r="A797" t="str">
        <f>Prices!A803</f>
        <v>40261-00</v>
      </c>
      <c r="B797" s="470">
        <f>IF('Flow Indicator Parts List'!$D$2="CDN$",_xlfn.XLOOKUP(A797,Prices!A:A,Prices!D:D),IF('Flow Indicator Parts List'!$D$2="US$",_xlfn.XLOOKUP(CurrencyModifier!A797,Prices!A:A,Prices!E:E,"MISSING")))</f>
        <v>0.5</v>
      </c>
    </row>
    <row r="798" spans="1:2">
      <c r="A798" t="str">
        <f>Prices!A804</f>
        <v>40266-00</v>
      </c>
      <c r="B798" s="470">
        <f>IF('Flow Indicator Parts List'!$D$2="CDN$",_xlfn.XLOOKUP(A798,Prices!A:A,Prices!D:D),IF('Flow Indicator Parts List'!$D$2="US$",_xlfn.XLOOKUP(CurrencyModifier!A798,Prices!A:A,Prices!E:E,"MISSING")))</f>
        <v>29.574000000000002</v>
      </c>
    </row>
    <row r="799" spans="1:2">
      <c r="A799" t="str">
        <f>Prices!A805</f>
        <v>40266-03</v>
      </c>
      <c r="B799" s="470">
        <f>IF('Flow Indicator Parts List'!$D$2="CDN$",_xlfn.XLOOKUP(A799,Prices!A:A,Prices!D:D),IF('Flow Indicator Parts List'!$D$2="US$",_xlfn.XLOOKUP(CurrencyModifier!A799,Prices!A:A,Prices!E:E,"MISSING")))</f>
        <v>8.8610000000000007</v>
      </c>
    </row>
    <row r="800" spans="1:2">
      <c r="A800" t="str">
        <f>Prices!A806</f>
        <v>40267-00</v>
      </c>
      <c r="B800" s="470">
        <f>IF('Flow Indicator Parts List'!$D$2="CDN$",_xlfn.XLOOKUP(A800,Prices!A:A,Prices!D:D),IF('Flow Indicator Parts List'!$D$2="US$",_xlfn.XLOOKUP(CurrencyModifier!A800,Prices!A:A,Prices!E:E,"MISSING")))</f>
        <v>29.574000000000002</v>
      </c>
    </row>
    <row r="801" spans="1:2">
      <c r="A801" t="str">
        <f>Prices!A807</f>
        <v>40268-00</v>
      </c>
      <c r="B801" s="470">
        <f>IF('Flow Indicator Parts List'!$D$2="CDN$",_xlfn.XLOOKUP(A801,Prices!A:A,Prices!D:D),IF('Flow Indicator Parts List'!$D$2="US$",_xlfn.XLOOKUP(CurrencyModifier!A801,Prices!A:A,Prices!E:E,"MISSING")))</f>
        <v>32.540999999999997</v>
      </c>
    </row>
    <row r="802" spans="1:2">
      <c r="A802" t="str">
        <f>Prices!A808</f>
        <v>40268-01</v>
      </c>
      <c r="B802" s="470">
        <f>IF('Flow Indicator Parts List'!$D$2="CDN$",_xlfn.XLOOKUP(A802,Prices!A:A,Prices!D:D),IF('Flow Indicator Parts List'!$D$2="US$",_xlfn.XLOOKUP(CurrencyModifier!A802,Prices!A:A,Prices!E:E,"MISSING")))</f>
        <v>13.616</v>
      </c>
    </row>
    <row r="803" spans="1:2">
      <c r="A803" t="str">
        <f>Prices!A809</f>
        <v>40268-P15</v>
      </c>
      <c r="B803" s="470">
        <f>IF('Flow Indicator Parts List'!$D$2="CDN$",_xlfn.XLOOKUP(A803,Prices!A:A,Prices!D:D),IF('Flow Indicator Parts List'!$D$2="US$",_xlfn.XLOOKUP(CurrencyModifier!A803,Prices!A:A,Prices!E:E,"MISSING")))</f>
        <v>32.533000000000001</v>
      </c>
    </row>
    <row r="804" spans="1:2">
      <c r="A804" t="str">
        <f>Prices!A810</f>
        <v>40269-01</v>
      </c>
      <c r="B804" s="470">
        <f>IF('Flow Indicator Parts List'!$D$2="CDN$",_xlfn.XLOOKUP(A804,Prices!A:A,Prices!D:D),IF('Flow Indicator Parts List'!$D$2="US$",_xlfn.XLOOKUP(CurrencyModifier!A804,Prices!A:A,Prices!E:E,"MISSING")))</f>
        <v>1.1819999999999999</v>
      </c>
    </row>
    <row r="805" spans="1:2">
      <c r="A805" t="str">
        <f>Prices!A811</f>
        <v>40269-02</v>
      </c>
      <c r="B805" s="470">
        <f>IF('Flow Indicator Parts List'!$D$2="CDN$",_xlfn.XLOOKUP(A805,Prices!A:A,Prices!D:D),IF('Flow Indicator Parts List'!$D$2="US$",_xlfn.XLOOKUP(CurrencyModifier!A805,Prices!A:A,Prices!E:E,"MISSING")))</f>
        <v>1.1819999999999999</v>
      </c>
    </row>
    <row r="806" spans="1:2">
      <c r="A806" t="str">
        <f>Prices!A812</f>
        <v>40269-03</v>
      </c>
      <c r="B806" s="470">
        <f>IF('Flow Indicator Parts List'!$D$2="CDN$",_xlfn.XLOOKUP(A806,Prices!A:A,Prices!D:D),IF('Flow Indicator Parts List'!$D$2="US$",_xlfn.XLOOKUP(CurrencyModifier!A806,Prices!A:A,Prices!E:E,"MISSING")))</f>
        <v>1.1819999999999999</v>
      </c>
    </row>
    <row r="807" spans="1:2">
      <c r="A807" t="str">
        <f>Prices!A813</f>
        <v>40269-04</v>
      </c>
      <c r="B807" s="470">
        <f>IF('Flow Indicator Parts List'!$D$2="CDN$",_xlfn.XLOOKUP(A807,Prices!A:A,Prices!D:D),IF('Flow Indicator Parts List'!$D$2="US$",_xlfn.XLOOKUP(CurrencyModifier!A807,Prices!A:A,Prices!E:E,"MISSING")))</f>
        <v>1.1819999999999999</v>
      </c>
    </row>
    <row r="808" spans="1:2">
      <c r="A808" t="str">
        <f>Prices!A814</f>
        <v>40269-05</v>
      </c>
      <c r="B808" s="470">
        <f>IF('Flow Indicator Parts List'!$D$2="CDN$",_xlfn.XLOOKUP(A808,Prices!A:A,Prices!D:D),IF('Flow Indicator Parts List'!$D$2="US$",_xlfn.XLOOKUP(CurrencyModifier!A808,Prices!A:A,Prices!E:E,"MISSING")))</f>
        <v>1.1819999999999999</v>
      </c>
    </row>
    <row r="809" spans="1:2">
      <c r="A809" t="str">
        <f>Prices!A815</f>
        <v>40269-06</v>
      </c>
      <c r="B809" s="470">
        <f>IF('Flow Indicator Parts List'!$D$2="CDN$",_xlfn.XLOOKUP(A809,Prices!A:A,Prices!D:D),IF('Flow Indicator Parts List'!$D$2="US$",_xlfn.XLOOKUP(CurrencyModifier!A809,Prices!A:A,Prices!E:E,"MISSING")))</f>
        <v>1.1819999999999999</v>
      </c>
    </row>
    <row r="810" spans="1:2">
      <c r="A810" t="str">
        <f>Prices!A816</f>
        <v>40269-07</v>
      </c>
      <c r="B810" s="470">
        <f>IF('Flow Indicator Parts List'!$D$2="CDN$",_xlfn.XLOOKUP(A810,Prices!A:A,Prices!D:D),IF('Flow Indicator Parts List'!$D$2="US$",_xlfn.XLOOKUP(CurrencyModifier!A810,Prices!A:A,Prices!E:E,"MISSING")))</f>
        <v>1.1819999999999999</v>
      </c>
    </row>
    <row r="811" spans="1:2">
      <c r="A811" t="str">
        <f>Prices!A817</f>
        <v>40269-08</v>
      </c>
      <c r="B811" s="470">
        <f>IF('Flow Indicator Parts List'!$D$2="CDN$",_xlfn.XLOOKUP(A811,Prices!A:A,Prices!D:D),IF('Flow Indicator Parts List'!$D$2="US$",_xlfn.XLOOKUP(CurrencyModifier!A811,Prices!A:A,Prices!E:E,"MISSING")))</f>
        <v>1.1819999999999999</v>
      </c>
    </row>
    <row r="812" spans="1:2">
      <c r="A812" t="str">
        <f>Prices!A818</f>
        <v>40269-09</v>
      </c>
      <c r="B812" s="470">
        <f>IF('Flow Indicator Parts List'!$D$2="CDN$",_xlfn.XLOOKUP(A812,Prices!A:A,Prices!D:D),IF('Flow Indicator Parts List'!$D$2="US$",_xlfn.XLOOKUP(CurrencyModifier!A812,Prices!A:A,Prices!E:E,"MISSING")))</f>
        <v>1.1819999999999999</v>
      </c>
    </row>
    <row r="813" spans="1:2">
      <c r="A813" t="str">
        <f>Prices!A819</f>
        <v>40270-005</v>
      </c>
      <c r="B813" s="470">
        <f>IF('Flow Indicator Parts List'!$D$2="CDN$",_xlfn.XLOOKUP(A813,Prices!A:A,Prices!D:D),IF('Flow Indicator Parts List'!$D$2="US$",_xlfn.XLOOKUP(CurrencyModifier!A813,Prices!A:A,Prices!E:E,"MISSING")))</f>
        <v>18.02</v>
      </c>
    </row>
    <row r="814" spans="1:2">
      <c r="A814" t="str">
        <f>Prices!A820</f>
        <v>40270-007</v>
      </c>
      <c r="B814" s="470">
        <f>IF('Flow Indicator Parts List'!$D$2="CDN$",_xlfn.XLOOKUP(A814,Prices!A:A,Prices!D:D),IF('Flow Indicator Parts List'!$D$2="US$",_xlfn.XLOOKUP(CurrencyModifier!A814,Prices!A:A,Prices!E:E,"MISSING")))</f>
        <v>18.02</v>
      </c>
    </row>
    <row r="815" spans="1:2">
      <c r="A815" t="str">
        <f>Prices!A821</f>
        <v>40270-01</v>
      </c>
      <c r="B815" s="470">
        <f>IF('Flow Indicator Parts List'!$D$2="CDN$",_xlfn.XLOOKUP(A815,Prices!A:A,Prices!D:D),IF('Flow Indicator Parts List'!$D$2="US$",_xlfn.XLOOKUP(CurrencyModifier!A815,Prices!A:A,Prices!E:E,"MISSING")))</f>
        <v>13.992000000000001</v>
      </c>
    </row>
    <row r="816" spans="1:2">
      <c r="A816" t="str">
        <f>Prices!A822</f>
        <v>40270-015</v>
      </c>
      <c r="B816" s="470">
        <f>IF('Flow Indicator Parts List'!$D$2="CDN$",_xlfn.XLOOKUP(A816,Prices!A:A,Prices!D:D),IF('Flow Indicator Parts List'!$D$2="US$",_xlfn.XLOOKUP(CurrencyModifier!A816,Prices!A:A,Prices!E:E,"MISSING")))</f>
        <v>13.992000000000001</v>
      </c>
    </row>
    <row r="817" spans="1:2">
      <c r="A817" t="str">
        <f>Prices!A823</f>
        <v>40270-02</v>
      </c>
      <c r="B817" s="470">
        <f>IF('Flow Indicator Parts List'!$D$2="CDN$",_xlfn.XLOOKUP(A817,Prices!A:A,Prices!D:D),IF('Flow Indicator Parts List'!$D$2="US$",_xlfn.XLOOKUP(CurrencyModifier!A817,Prices!A:A,Prices!E:E,"MISSING")))</f>
        <v>13.992000000000001</v>
      </c>
    </row>
    <row r="818" spans="1:2">
      <c r="A818" t="str">
        <f>Prices!A824</f>
        <v>40270-025</v>
      </c>
      <c r="B818" s="470">
        <f>IF('Flow Indicator Parts List'!$D$2="CDN$",_xlfn.XLOOKUP(A818,Prices!A:A,Prices!D:D),IF('Flow Indicator Parts List'!$D$2="US$",_xlfn.XLOOKUP(CurrencyModifier!A818,Prices!A:A,Prices!E:E,"MISSING")))</f>
        <v>13.992000000000001</v>
      </c>
    </row>
    <row r="819" spans="1:2">
      <c r="A819" t="str">
        <f>Prices!A825</f>
        <v>40270-03</v>
      </c>
      <c r="B819" s="470">
        <f>IF('Flow Indicator Parts List'!$D$2="CDN$",_xlfn.XLOOKUP(A819,Prices!A:A,Prices!D:D),IF('Flow Indicator Parts List'!$D$2="US$",_xlfn.XLOOKUP(CurrencyModifier!A819,Prices!A:A,Prices!E:E,"MISSING")))</f>
        <v>13.992000000000001</v>
      </c>
    </row>
    <row r="820" spans="1:2">
      <c r="A820" t="str">
        <f>Prices!A826</f>
        <v>40270-04</v>
      </c>
      <c r="B820" s="470">
        <f>IF('Flow Indicator Parts List'!$D$2="CDN$",_xlfn.XLOOKUP(A820,Prices!A:A,Prices!D:D),IF('Flow Indicator Parts List'!$D$2="US$",_xlfn.XLOOKUP(CurrencyModifier!A820,Prices!A:A,Prices!E:E,"MISSING")))</f>
        <v>13.992000000000001</v>
      </c>
    </row>
    <row r="821" spans="1:2">
      <c r="A821" t="str">
        <f>Prices!A827</f>
        <v>40270-05</v>
      </c>
      <c r="B821" s="470">
        <f>IF('Flow Indicator Parts List'!$D$2="CDN$",_xlfn.XLOOKUP(A821,Prices!A:A,Prices!D:D),IF('Flow Indicator Parts List'!$D$2="US$",_xlfn.XLOOKUP(CurrencyModifier!A821,Prices!A:A,Prices!E:E,"MISSING")))</f>
        <v>13.992000000000001</v>
      </c>
    </row>
    <row r="822" spans="1:2">
      <c r="A822" t="str">
        <f>Prices!A828</f>
        <v>40270-06</v>
      </c>
      <c r="B822" s="470">
        <f>IF('Flow Indicator Parts List'!$D$2="CDN$",_xlfn.XLOOKUP(A822,Prices!A:A,Prices!D:D),IF('Flow Indicator Parts List'!$D$2="US$",_xlfn.XLOOKUP(CurrencyModifier!A822,Prices!A:A,Prices!E:E,"MISSING")))</f>
        <v>13.992000000000001</v>
      </c>
    </row>
    <row r="823" spans="1:2">
      <c r="A823" t="str">
        <f>Prices!A829</f>
        <v>40270-08</v>
      </c>
      <c r="B823" s="470">
        <f>IF('Flow Indicator Parts List'!$D$2="CDN$",_xlfn.XLOOKUP(A823,Prices!A:A,Prices!D:D),IF('Flow Indicator Parts List'!$D$2="US$",_xlfn.XLOOKUP(CurrencyModifier!A823,Prices!A:A,Prices!E:E,"MISSING")))</f>
        <v>13.992000000000001</v>
      </c>
    </row>
    <row r="824" spans="1:2">
      <c r="A824" t="str">
        <f>Prices!A830</f>
        <v>40270-10</v>
      </c>
      <c r="B824" s="470">
        <f>IF('Flow Indicator Parts List'!$D$2="CDN$",_xlfn.XLOOKUP(A824,Prices!A:A,Prices!D:D),IF('Flow Indicator Parts List'!$D$2="US$",_xlfn.XLOOKUP(CurrencyModifier!A824,Prices!A:A,Prices!E:E,"MISSING")))</f>
        <v>13.992000000000001</v>
      </c>
    </row>
    <row r="825" spans="1:2">
      <c r="A825" t="str">
        <f>Prices!A831</f>
        <v>40270-125</v>
      </c>
      <c r="B825" s="470">
        <f>IF('Flow Indicator Parts List'!$D$2="CDN$",_xlfn.XLOOKUP(A825,Prices!A:A,Prices!D:D),IF('Flow Indicator Parts List'!$D$2="US$",_xlfn.XLOOKUP(CurrencyModifier!A825,Prices!A:A,Prices!E:E,"MISSING")))</f>
        <v>13.992000000000001</v>
      </c>
    </row>
    <row r="826" spans="1:2">
      <c r="A826" t="str">
        <f>Prices!A832</f>
        <v>40270-15</v>
      </c>
      <c r="B826" s="470">
        <f>IF('Flow Indicator Parts List'!$D$2="CDN$",_xlfn.XLOOKUP(A826,Prices!A:A,Prices!D:D),IF('Flow Indicator Parts List'!$D$2="US$",_xlfn.XLOOKUP(CurrencyModifier!A826,Prices!A:A,Prices!E:E,"MISSING")))</f>
        <v>13.992000000000001</v>
      </c>
    </row>
    <row r="827" spans="1:2">
      <c r="A827" t="str">
        <f>Prices!A833</f>
        <v>40270-20</v>
      </c>
      <c r="B827" s="470">
        <f>IF('Flow Indicator Parts List'!$D$2="CDN$",_xlfn.XLOOKUP(A827,Prices!A:A,Prices!D:D),IF('Flow Indicator Parts List'!$D$2="US$",_xlfn.XLOOKUP(CurrencyModifier!A827,Prices!A:A,Prices!E:E,"MISSING")))</f>
        <v>13.992000000000001</v>
      </c>
    </row>
    <row r="828" spans="1:2">
      <c r="A828" t="str">
        <f>Prices!A834</f>
        <v>40270-25</v>
      </c>
      <c r="B828" s="470">
        <f>IF('Flow Indicator Parts List'!$D$2="CDN$",_xlfn.XLOOKUP(A828,Prices!A:A,Prices!D:D),IF('Flow Indicator Parts List'!$D$2="US$",_xlfn.XLOOKUP(CurrencyModifier!A828,Prices!A:A,Prices!E:E,"MISSING")))</f>
        <v>13.992000000000001</v>
      </c>
    </row>
    <row r="829" spans="1:2">
      <c r="A829" t="str">
        <f>Prices!A835</f>
        <v>40270-30</v>
      </c>
      <c r="B829" s="470">
        <f>IF('Flow Indicator Parts List'!$D$2="CDN$",_xlfn.XLOOKUP(A829,Prices!A:A,Prices!D:D),IF('Flow Indicator Parts List'!$D$2="US$",_xlfn.XLOOKUP(CurrencyModifier!A829,Prices!A:A,Prices!E:E,"MISSING")))</f>
        <v>13.992000000000001</v>
      </c>
    </row>
    <row r="830" spans="1:2">
      <c r="A830" t="str">
        <f>Prices!A836</f>
        <v>40270-40</v>
      </c>
      <c r="B830" s="470">
        <f>IF('Flow Indicator Parts List'!$D$2="CDN$",_xlfn.XLOOKUP(A830,Prices!A:A,Prices!D:D),IF('Flow Indicator Parts List'!$D$2="US$",_xlfn.XLOOKUP(CurrencyModifier!A830,Prices!A:A,Prices!E:E,"MISSING")))</f>
        <v>13.992000000000001</v>
      </c>
    </row>
    <row r="831" spans="1:2">
      <c r="A831" t="str">
        <f>Prices!A837</f>
        <v>40270-50</v>
      </c>
      <c r="B831" s="470">
        <f>IF('Flow Indicator Parts List'!$D$2="CDN$",_xlfn.XLOOKUP(A831,Prices!A:A,Prices!D:D),IF('Flow Indicator Parts List'!$D$2="US$",_xlfn.XLOOKUP(CurrencyModifier!A831,Prices!A:A,Prices!E:E,"MISSING")))</f>
        <v>13.992000000000001</v>
      </c>
    </row>
    <row r="832" spans="1:2">
      <c r="A832" t="str">
        <f>Prices!A838</f>
        <v>40270-60</v>
      </c>
      <c r="B832" s="470">
        <f>IF('Flow Indicator Parts List'!$D$2="CDN$",_xlfn.XLOOKUP(A832,Prices!A:A,Prices!D:D),IF('Flow Indicator Parts List'!$D$2="US$",_xlfn.XLOOKUP(CurrencyModifier!A832,Prices!A:A,Prices!E:E,"MISSING")))</f>
        <v>13.992000000000001</v>
      </c>
    </row>
    <row r="833" spans="1:2">
      <c r="A833" t="str">
        <f>Prices!A839</f>
        <v>40270-97</v>
      </c>
      <c r="B833" s="470">
        <f>IF('Flow Indicator Parts List'!$D$2="CDN$",_xlfn.XLOOKUP(A833,Prices!A:A,Prices!D:D),IF('Flow Indicator Parts List'!$D$2="US$",_xlfn.XLOOKUP(CurrencyModifier!A833,Prices!A:A,Prices!E:E,"MISSING")))</f>
        <v>0.38700000000000001</v>
      </c>
    </row>
    <row r="834" spans="1:2">
      <c r="A834" t="str">
        <f>Prices!A840</f>
        <v>40271-01</v>
      </c>
      <c r="B834" s="470">
        <f>IF('Flow Indicator Parts List'!$D$2="CDN$",_xlfn.XLOOKUP(A834,Prices!A:A,Prices!D:D),IF('Flow Indicator Parts List'!$D$2="US$",_xlfn.XLOOKUP(CurrencyModifier!A834,Prices!A:A,Prices!E:E,"MISSING")))</f>
        <v>1.3220000000000001</v>
      </c>
    </row>
    <row r="835" spans="1:2">
      <c r="A835" t="str">
        <f>Prices!A841</f>
        <v>40271-02</v>
      </c>
      <c r="B835" s="470">
        <f>IF('Flow Indicator Parts List'!$D$2="CDN$",_xlfn.XLOOKUP(A835,Prices!A:A,Prices!D:D),IF('Flow Indicator Parts List'!$D$2="US$",_xlfn.XLOOKUP(CurrencyModifier!A835,Prices!A:A,Prices!E:E,"MISSING")))</f>
        <v>1.3220000000000001</v>
      </c>
    </row>
    <row r="836" spans="1:2">
      <c r="A836" t="str">
        <f>Prices!A842</f>
        <v>40271-03</v>
      </c>
      <c r="B836" s="470">
        <f>IF('Flow Indicator Parts List'!$D$2="CDN$",_xlfn.XLOOKUP(A836,Prices!A:A,Prices!D:D),IF('Flow Indicator Parts List'!$D$2="US$",_xlfn.XLOOKUP(CurrencyModifier!A836,Prices!A:A,Prices!E:E,"MISSING")))</f>
        <v>1.3220000000000001</v>
      </c>
    </row>
    <row r="837" spans="1:2">
      <c r="A837" t="str">
        <f>Prices!A843</f>
        <v>40271-04</v>
      </c>
      <c r="B837" s="470">
        <f>IF('Flow Indicator Parts List'!$D$2="CDN$",_xlfn.XLOOKUP(A837,Prices!A:A,Prices!D:D),IF('Flow Indicator Parts List'!$D$2="US$",_xlfn.XLOOKUP(CurrencyModifier!A837,Prices!A:A,Prices!E:E,"MISSING")))</f>
        <v>1.3220000000000001</v>
      </c>
    </row>
    <row r="838" spans="1:2">
      <c r="A838" t="str">
        <f>Prices!A844</f>
        <v>40271-05</v>
      </c>
      <c r="B838" s="470">
        <f>IF('Flow Indicator Parts List'!$D$2="CDN$",_xlfn.XLOOKUP(A838,Prices!A:A,Prices!D:D),IF('Flow Indicator Parts List'!$D$2="US$",_xlfn.XLOOKUP(CurrencyModifier!A838,Prices!A:A,Prices!E:E,"MISSING")))</f>
        <v>1.3220000000000001</v>
      </c>
    </row>
    <row r="839" spans="1:2">
      <c r="A839" t="str">
        <f>Prices!A845</f>
        <v>40271-06</v>
      </c>
      <c r="B839" s="470">
        <f>IF('Flow Indicator Parts List'!$D$2="CDN$",_xlfn.XLOOKUP(A839,Prices!A:A,Prices!D:D),IF('Flow Indicator Parts List'!$D$2="US$",_xlfn.XLOOKUP(CurrencyModifier!A839,Prices!A:A,Prices!E:E,"MISSING")))</f>
        <v>1.3220000000000001</v>
      </c>
    </row>
    <row r="840" spans="1:2">
      <c r="A840" t="str">
        <f>Prices!A846</f>
        <v>40271-07</v>
      </c>
      <c r="B840" s="470">
        <f>IF('Flow Indicator Parts List'!$D$2="CDN$",_xlfn.XLOOKUP(A840,Prices!A:A,Prices!D:D),IF('Flow Indicator Parts List'!$D$2="US$",_xlfn.XLOOKUP(CurrencyModifier!A840,Prices!A:A,Prices!E:E,"MISSING")))</f>
        <v>1.3220000000000001</v>
      </c>
    </row>
    <row r="841" spans="1:2">
      <c r="A841" t="str">
        <f>Prices!A847</f>
        <v>40271-08</v>
      </c>
      <c r="B841" s="470">
        <f>IF('Flow Indicator Parts List'!$D$2="CDN$",_xlfn.XLOOKUP(A841,Prices!A:A,Prices!D:D),IF('Flow Indicator Parts List'!$D$2="US$",_xlfn.XLOOKUP(CurrencyModifier!A841,Prices!A:A,Prices!E:E,"MISSING")))</f>
        <v>1.3220000000000001</v>
      </c>
    </row>
    <row r="842" spans="1:2">
      <c r="A842" t="str">
        <f>Prices!A848</f>
        <v>40271-09</v>
      </c>
      <c r="B842" s="470">
        <f>IF('Flow Indicator Parts List'!$D$2="CDN$",_xlfn.XLOOKUP(A842,Prices!A:A,Prices!D:D),IF('Flow Indicator Parts List'!$D$2="US$",_xlfn.XLOOKUP(CurrencyModifier!A842,Prices!A:A,Prices!E:E,"MISSING")))</f>
        <v>1.3220000000000001</v>
      </c>
    </row>
    <row r="843" spans="1:2">
      <c r="A843" t="str">
        <f>Prices!A849</f>
        <v>40272-01</v>
      </c>
      <c r="B843" s="470">
        <f>IF('Flow Indicator Parts List'!$D$2="CDN$",_xlfn.XLOOKUP(A843,Prices!A:A,Prices!D:D),IF('Flow Indicator Parts List'!$D$2="US$",_xlfn.XLOOKUP(CurrencyModifier!A843,Prices!A:A,Prices!E:E,"MISSING")))</f>
        <v>1.3220000000000001</v>
      </c>
    </row>
    <row r="844" spans="1:2">
      <c r="A844" t="str">
        <f>Prices!A850</f>
        <v>40272-02</v>
      </c>
      <c r="B844" s="470">
        <f>IF('Flow Indicator Parts List'!$D$2="CDN$",_xlfn.XLOOKUP(A844,Prices!A:A,Prices!D:D),IF('Flow Indicator Parts List'!$D$2="US$",_xlfn.XLOOKUP(CurrencyModifier!A844,Prices!A:A,Prices!E:E,"MISSING")))</f>
        <v>1.3220000000000001</v>
      </c>
    </row>
    <row r="845" spans="1:2">
      <c r="A845" t="str">
        <f>Prices!A851</f>
        <v>40272-03</v>
      </c>
      <c r="B845" s="470">
        <f>IF('Flow Indicator Parts List'!$D$2="CDN$",_xlfn.XLOOKUP(A845,Prices!A:A,Prices!D:D),IF('Flow Indicator Parts List'!$D$2="US$",_xlfn.XLOOKUP(CurrencyModifier!A845,Prices!A:A,Prices!E:E,"MISSING")))</f>
        <v>1.3220000000000001</v>
      </c>
    </row>
    <row r="846" spans="1:2">
      <c r="A846" t="str">
        <f>Prices!A852</f>
        <v>40272-04</v>
      </c>
      <c r="B846" s="470">
        <f>IF('Flow Indicator Parts List'!$D$2="CDN$",_xlfn.XLOOKUP(A846,Prices!A:A,Prices!D:D),IF('Flow Indicator Parts List'!$D$2="US$",_xlfn.XLOOKUP(CurrencyModifier!A846,Prices!A:A,Prices!E:E,"MISSING")))</f>
        <v>1.3220000000000001</v>
      </c>
    </row>
    <row r="847" spans="1:2">
      <c r="A847" t="str">
        <f>Prices!A853</f>
        <v>40272-05</v>
      </c>
      <c r="B847" s="470">
        <f>IF('Flow Indicator Parts List'!$D$2="CDN$",_xlfn.XLOOKUP(A847,Prices!A:A,Prices!D:D),IF('Flow Indicator Parts List'!$D$2="US$",_xlfn.XLOOKUP(CurrencyModifier!A847,Prices!A:A,Prices!E:E,"MISSING")))</f>
        <v>1.3220000000000001</v>
      </c>
    </row>
    <row r="848" spans="1:2">
      <c r="A848" t="str">
        <f>Prices!A854</f>
        <v>40272-B5</v>
      </c>
      <c r="B848" s="470">
        <f>IF('Flow Indicator Parts List'!$D$2="CDN$",_xlfn.XLOOKUP(A848,Prices!A:A,Prices!D:D),IF('Flow Indicator Parts List'!$D$2="US$",_xlfn.XLOOKUP(CurrencyModifier!A848,Prices!A:A,Prices!E:E,"MISSING")))</f>
        <v>1.7649999999999999</v>
      </c>
    </row>
    <row r="849" spans="1:2">
      <c r="A849" t="str">
        <f>Prices!A855</f>
        <v>40272-V5</v>
      </c>
      <c r="B849" s="470">
        <f>IF('Flow Indicator Parts List'!$D$2="CDN$",_xlfn.XLOOKUP(A849,Prices!A:A,Prices!D:D),IF('Flow Indicator Parts List'!$D$2="US$",_xlfn.XLOOKUP(CurrencyModifier!A849,Prices!A:A,Prices!E:E,"MISSING")))</f>
        <v>4.0839999999999996</v>
      </c>
    </row>
    <row r="850" spans="1:2">
      <c r="A850" t="str">
        <f>Prices!A856</f>
        <v>40273-01</v>
      </c>
      <c r="B850" s="470">
        <f>IF('Flow Indicator Parts List'!$D$2="CDN$",_xlfn.XLOOKUP(A850,Prices!A:A,Prices!D:D),IF('Flow Indicator Parts List'!$D$2="US$",_xlfn.XLOOKUP(CurrencyModifier!A850,Prices!A:A,Prices!E:E,"MISSING")))</f>
        <v>1.669</v>
      </c>
    </row>
    <row r="851" spans="1:2">
      <c r="A851" t="str">
        <f>Prices!A857</f>
        <v>40273-02</v>
      </c>
      <c r="B851" s="470">
        <f>IF('Flow Indicator Parts List'!$D$2="CDN$",_xlfn.XLOOKUP(A851,Prices!A:A,Prices!D:D),IF('Flow Indicator Parts List'!$D$2="US$",_xlfn.XLOOKUP(CurrencyModifier!A851,Prices!A:A,Prices!E:E,"MISSING")))</f>
        <v>1.669</v>
      </c>
    </row>
    <row r="852" spans="1:2">
      <c r="A852" t="str">
        <f>Prices!A858</f>
        <v>40273-03</v>
      </c>
      <c r="B852" s="470">
        <f>IF('Flow Indicator Parts List'!$D$2="CDN$",_xlfn.XLOOKUP(A852,Prices!A:A,Prices!D:D),IF('Flow Indicator Parts List'!$D$2="US$",_xlfn.XLOOKUP(CurrencyModifier!A852,Prices!A:A,Prices!E:E,"MISSING")))</f>
        <v>1.669</v>
      </c>
    </row>
    <row r="853" spans="1:2">
      <c r="A853" t="str">
        <f>Prices!A859</f>
        <v>40273-04</v>
      </c>
      <c r="B853" s="470">
        <f>IF('Flow Indicator Parts List'!$D$2="CDN$",_xlfn.XLOOKUP(A853,Prices!A:A,Prices!D:D),IF('Flow Indicator Parts List'!$D$2="US$",_xlfn.XLOOKUP(CurrencyModifier!A853,Prices!A:A,Prices!E:E,"MISSING")))</f>
        <v>1.669</v>
      </c>
    </row>
    <row r="854" spans="1:2">
      <c r="A854" t="str">
        <f>Prices!A860</f>
        <v>40273-05</v>
      </c>
      <c r="B854" s="470">
        <f>IF('Flow Indicator Parts List'!$D$2="CDN$",_xlfn.XLOOKUP(A854,Prices!A:A,Prices!D:D),IF('Flow Indicator Parts List'!$D$2="US$",_xlfn.XLOOKUP(CurrencyModifier!A854,Prices!A:A,Prices!E:E,"MISSING")))</f>
        <v>1.669</v>
      </c>
    </row>
    <row r="855" spans="1:2">
      <c r="A855" t="str">
        <f>Prices!A861</f>
        <v>40273-B5</v>
      </c>
      <c r="B855" s="470">
        <f>IF('Flow Indicator Parts List'!$D$2="CDN$",_xlfn.XLOOKUP(A855,Prices!A:A,Prices!D:D),IF('Flow Indicator Parts List'!$D$2="US$",_xlfn.XLOOKUP(CurrencyModifier!A855,Prices!A:A,Prices!E:E,"MISSING")))</f>
        <v>2.8170000000000002</v>
      </c>
    </row>
    <row r="856" spans="1:2">
      <c r="A856" t="str">
        <f>Prices!A862</f>
        <v>40273-V5</v>
      </c>
      <c r="B856" s="470">
        <f>IF('Flow Indicator Parts List'!$D$2="CDN$",_xlfn.XLOOKUP(A856,Prices!A:A,Prices!D:D),IF('Flow Indicator Parts List'!$D$2="US$",_xlfn.XLOOKUP(CurrencyModifier!A856,Prices!A:A,Prices!E:E,"MISSING")))</f>
        <v>5.077</v>
      </c>
    </row>
    <row r="857" spans="1:2">
      <c r="A857" t="str">
        <f>Prices!A863</f>
        <v>40274-01</v>
      </c>
      <c r="B857" s="470">
        <f>IF('Flow Indicator Parts List'!$D$2="CDN$",_xlfn.XLOOKUP(A857,Prices!A:A,Prices!D:D),IF('Flow Indicator Parts List'!$D$2="US$",_xlfn.XLOOKUP(CurrencyModifier!A857,Prices!A:A,Prices!E:E,"MISSING")))</f>
        <v>3.887</v>
      </c>
    </row>
    <row r="858" spans="1:2">
      <c r="A858" t="str">
        <f>Prices!A864</f>
        <v>40274-02</v>
      </c>
      <c r="B858" s="470">
        <f>IF('Flow Indicator Parts List'!$D$2="CDN$",_xlfn.XLOOKUP(A858,Prices!A:A,Prices!D:D),IF('Flow Indicator Parts List'!$D$2="US$",_xlfn.XLOOKUP(CurrencyModifier!A858,Prices!A:A,Prices!E:E,"MISSING")))</f>
        <v>3.887</v>
      </c>
    </row>
    <row r="859" spans="1:2">
      <c r="A859" t="str">
        <f>Prices!A865</f>
        <v>40274-03</v>
      </c>
      <c r="B859" s="470">
        <f>IF('Flow Indicator Parts List'!$D$2="CDN$",_xlfn.XLOOKUP(A859,Prices!A:A,Prices!D:D),IF('Flow Indicator Parts List'!$D$2="US$",_xlfn.XLOOKUP(CurrencyModifier!A859,Prices!A:A,Prices!E:E,"MISSING")))</f>
        <v>3.887</v>
      </c>
    </row>
    <row r="860" spans="1:2">
      <c r="A860" t="str">
        <f>Prices!A866</f>
        <v>40274-04</v>
      </c>
      <c r="B860" s="470">
        <f>IF('Flow Indicator Parts List'!$D$2="CDN$",_xlfn.XLOOKUP(A860,Prices!A:A,Prices!D:D),IF('Flow Indicator Parts List'!$D$2="US$",_xlfn.XLOOKUP(CurrencyModifier!A860,Prices!A:A,Prices!E:E,"MISSING")))</f>
        <v>3.887</v>
      </c>
    </row>
    <row r="861" spans="1:2">
      <c r="A861" t="str">
        <f>Prices!A867</f>
        <v>40274-05</v>
      </c>
      <c r="B861" s="470">
        <f>IF('Flow Indicator Parts List'!$D$2="CDN$",_xlfn.XLOOKUP(A861,Prices!A:A,Prices!D:D),IF('Flow Indicator Parts List'!$D$2="US$",_xlfn.XLOOKUP(CurrencyModifier!A861,Prices!A:A,Prices!E:E,"MISSING")))</f>
        <v>3.887</v>
      </c>
    </row>
    <row r="862" spans="1:2">
      <c r="A862" t="str">
        <f>Prices!A868</f>
        <v>40274-B5</v>
      </c>
      <c r="B862" s="470">
        <f>IF('Flow Indicator Parts List'!$D$2="CDN$",_xlfn.XLOOKUP(A862,Prices!A:A,Prices!D:D),IF('Flow Indicator Parts List'!$D$2="US$",_xlfn.XLOOKUP(CurrencyModifier!A862,Prices!A:A,Prices!E:E,"MISSING")))</f>
        <v>5.0389999999999997</v>
      </c>
    </row>
    <row r="863" spans="1:2">
      <c r="A863" t="str">
        <f>Prices!A869</f>
        <v>40274-V5</v>
      </c>
      <c r="B863" s="470">
        <f>IF('Flow Indicator Parts List'!$D$2="CDN$",_xlfn.XLOOKUP(A863,Prices!A:A,Prices!D:D),IF('Flow Indicator Parts List'!$D$2="US$",_xlfn.XLOOKUP(CurrencyModifier!A863,Prices!A:A,Prices!E:E,"MISSING")))</f>
        <v>7.2949999999999999</v>
      </c>
    </row>
    <row r="864" spans="1:2">
      <c r="A864" t="str">
        <f>Prices!A870</f>
        <v>40275-01</v>
      </c>
      <c r="B864" s="470">
        <f>IF('Flow Indicator Parts List'!$D$2="CDN$",_xlfn.XLOOKUP(A864,Prices!A:A,Prices!D:D),IF('Flow Indicator Parts List'!$D$2="US$",_xlfn.XLOOKUP(CurrencyModifier!A864,Prices!A:A,Prices!E:E,"MISSING")))</f>
        <v>1.3220000000000001</v>
      </c>
    </row>
    <row r="865" spans="1:2">
      <c r="A865" t="str">
        <f>Prices!A871</f>
        <v>40275-02</v>
      </c>
      <c r="B865" s="470">
        <f>IF('Flow Indicator Parts List'!$D$2="CDN$",_xlfn.XLOOKUP(A865,Prices!A:A,Prices!D:D),IF('Flow Indicator Parts List'!$D$2="US$",_xlfn.XLOOKUP(CurrencyModifier!A865,Prices!A:A,Prices!E:E,"MISSING")))</f>
        <v>1.3220000000000001</v>
      </c>
    </row>
    <row r="866" spans="1:2">
      <c r="A866" t="str">
        <f>Prices!A872</f>
        <v>40275-03</v>
      </c>
      <c r="B866" s="470">
        <f>IF('Flow Indicator Parts List'!$D$2="CDN$",_xlfn.XLOOKUP(A866,Prices!A:A,Prices!D:D),IF('Flow Indicator Parts List'!$D$2="US$",_xlfn.XLOOKUP(CurrencyModifier!A866,Prices!A:A,Prices!E:E,"MISSING")))</f>
        <v>1.3220000000000001</v>
      </c>
    </row>
    <row r="867" spans="1:2">
      <c r="A867" t="str">
        <f>Prices!A873</f>
        <v>40275-04</v>
      </c>
      <c r="B867" s="470">
        <f>IF('Flow Indicator Parts List'!$D$2="CDN$",_xlfn.XLOOKUP(A867,Prices!A:A,Prices!D:D),IF('Flow Indicator Parts List'!$D$2="US$",_xlfn.XLOOKUP(CurrencyModifier!A867,Prices!A:A,Prices!E:E,"MISSING")))</f>
        <v>1.3220000000000001</v>
      </c>
    </row>
    <row r="868" spans="1:2">
      <c r="A868" t="str">
        <f>Prices!A874</f>
        <v>40275-05</v>
      </c>
      <c r="B868" s="470">
        <f>IF('Flow Indicator Parts List'!$D$2="CDN$",_xlfn.XLOOKUP(A868,Prices!A:A,Prices!D:D),IF('Flow Indicator Parts List'!$D$2="US$",_xlfn.XLOOKUP(CurrencyModifier!A868,Prices!A:A,Prices!E:E,"MISSING")))</f>
        <v>1.3220000000000001</v>
      </c>
    </row>
    <row r="869" spans="1:2">
      <c r="A869" t="str">
        <f>Prices!A875</f>
        <v>40276-01</v>
      </c>
      <c r="B869" s="470">
        <f>IF('Flow Indicator Parts List'!$D$2="CDN$",_xlfn.XLOOKUP(A869,Prices!A:A,Prices!D:D),IF('Flow Indicator Parts List'!$D$2="US$",_xlfn.XLOOKUP(CurrencyModifier!A869,Prices!A:A,Prices!E:E,"MISSING")))</f>
        <v>1.3220000000000001</v>
      </c>
    </row>
    <row r="870" spans="1:2">
      <c r="A870" t="str">
        <f>Prices!A876</f>
        <v>40276-02</v>
      </c>
      <c r="B870" s="470">
        <f>IF('Flow Indicator Parts List'!$D$2="CDN$",_xlfn.XLOOKUP(A870,Prices!A:A,Prices!D:D),IF('Flow Indicator Parts List'!$D$2="US$",_xlfn.XLOOKUP(CurrencyModifier!A870,Prices!A:A,Prices!E:E,"MISSING")))</f>
        <v>1.3220000000000001</v>
      </c>
    </row>
    <row r="871" spans="1:2">
      <c r="A871" t="str">
        <f>Prices!A877</f>
        <v>40276-03</v>
      </c>
      <c r="B871" s="470">
        <f>IF('Flow Indicator Parts List'!$D$2="CDN$",_xlfn.XLOOKUP(A871,Prices!A:A,Prices!D:D),IF('Flow Indicator Parts List'!$D$2="US$",_xlfn.XLOOKUP(CurrencyModifier!A871,Prices!A:A,Prices!E:E,"MISSING")))</f>
        <v>1.3220000000000001</v>
      </c>
    </row>
    <row r="872" spans="1:2">
      <c r="A872" t="str">
        <f>Prices!A878</f>
        <v>40276-04</v>
      </c>
      <c r="B872" s="470">
        <f>IF('Flow Indicator Parts List'!$D$2="CDN$",_xlfn.XLOOKUP(A872,Prices!A:A,Prices!D:D),IF('Flow Indicator Parts List'!$D$2="US$",_xlfn.XLOOKUP(CurrencyModifier!A872,Prices!A:A,Prices!E:E,"MISSING")))</f>
        <v>1.3220000000000001</v>
      </c>
    </row>
    <row r="873" spans="1:2">
      <c r="A873" t="str">
        <f>Prices!A879</f>
        <v>40276-05</v>
      </c>
      <c r="B873" s="470">
        <f>IF('Flow Indicator Parts List'!$D$2="CDN$",_xlfn.XLOOKUP(A873,Prices!A:A,Prices!D:D),IF('Flow Indicator Parts List'!$D$2="US$",_xlfn.XLOOKUP(CurrencyModifier!A873,Prices!A:A,Prices!E:E,"MISSING")))</f>
        <v>1.3220000000000001</v>
      </c>
    </row>
    <row r="874" spans="1:2">
      <c r="A874" t="str">
        <f>Prices!A880</f>
        <v>40277-01</v>
      </c>
      <c r="B874" s="470">
        <f>IF('Flow Indicator Parts List'!$D$2="CDN$",_xlfn.XLOOKUP(A874,Prices!A:A,Prices!D:D),IF('Flow Indicator Parts List'!$D$2="US$",_xlfn.XLOOKUP(CurrencyModifier!A874,Prices!A:A,Prices!E:E,"MISSING")))</f>
        <v>1.669</v>
      </c>
    </row>
    <row r="875" spans="1:2">
      <c r="A875" t="str">
        <f>Prices!A881</f>
        <v>40277-02</v>
      </c>
      <c r="B875" s="470">
        <f>IF('Flow Indicator Parts List'!$D$2="CDN$",_xlfn.XLOOKUP(A875,Prices!A:A,Prices!D:D),IF('Flow Indicator Parts List'!$D$2="US$",_xlfn.XLOOKUP(CurrencyModifier!A875,Prices!A:A,Prices!E:E,"MISSING")))</f>
        <v>1.669</v>
      </c>
    </row>
    <row r="876" spans="1:2">
      <c r="A876" t="str">
        <f>Prices!A882</f>
        <v>40277-03</v>
      </c>
      <c r="B876" s="470">
        <f>IF('Flow Indicator Parts List'!$D$2="CDN$",_xlfn.XLOOKUP(A876,Prices!A:A,Prices!D:D),IF('Flow Indicator Parts List'!$D$2="US$",_xlfn.XLOOKUP(CurrencyModifier!A876,Prices!A:A,Prices!E:E,"MISSING")))</f>
        <v>1.669</v>
      </c>
    </row>
    <row r="877" spans="1:2">
      <c r="A877" t="str">
        <f>Prices!A883</f>
        <v>40277-04</v>
      </c>
      <c r="B877" s="470">
        <f>IF('Flow Indicator Parts List'!$D$2="CDN$",_xlfn.XLOOKUP(A877,Prices!A:A,Prices!D:D),IF('Flow Indicator Parts List'!$D$2="US$",_xlfn.XLOOKUP(CurrencyModifier!A877,Prices!A:A,Prices!E:E,"MISSING")))</f>
        <v>1.669</v>
      </c>
    </row>
    <row r="878" spans="1:2">
      <c r="A878" t="str">
        <f>Prices!A884</f>
        <v>40277-05</v>
      </c>
      <c r="B878" s="470">
        <f>IF('Flow Indicator Parts List'!$D$2="CDN$",_xlfn.XLOOKUP(A878,Prices!A:A,Prices!D:D),IF('Flow Indicator Parts List'!$D$2="US$",_xlfn.XLOOKUP(CurrencyModifier!A878,Prices!A:A,Prices!E:E,"MISSING")))</f>
        <v>1.669</v>
      </c>
    </row>
    <row r="879" spans="1:2">
      <c r="A879" t="str">
        <f>Prices!A885</f>
        <v>40277-B5</v>
      </c>
      <c r="B879" s="470">
        <f>IF('Flow Indicator Parts List'!$D$2="CDN$",_xlfn.XLOOKUP(A879,Prices!A:A,Prices!D:D),IF('Flow Indicator Parts List'!$D$2="US$",_xlfn.XLOOKUP(CurrencyModifier!A879,Prices!A:A,Prices!E:E,"MISSING")))</f>
        <v>2.8170000000000002</v>
      </c>
    </row>
    <row r="880" spans="1:2">
      <c r="A880" t="str">
        <f>Prices!A886</f>
        <v>40277-V5</v>
      </c>
      <c r="B880" s="470">
        <f>IF('Flow Indicator Parts List'!$D$2="CDN$",_xlfn.XLOOKUP(A880,Prices!A:A,Prices!D:D),IF('Flow Indicator Parts List'!$D$2="US$",_xlfn.XLOOKUP(CurrencyModifier!A880,Prices!A:A,Prices!E:E,"MISSING")))</f>
        <v>5.077</v>
      </c>
    </row>
    <row r="881" spans="1:2">
      <c r="A881" t="str">
        <f>Prices!A887</f>
        <v>40279-01</v>
      </c>
      <c r="B881" s="470">
        <f>IF('Flow Indicator Parts List'!$D$2="CDN$",_xlfn.XLOOKUP(A881,Prices!A:A,Prices!D:D),IF('Flow Indicator Parts List'!$D$2="US$",_xlfn.XLOOKUP(CurrencyModifier!A881,Prices!A:A,Prices!E:E,"MISSING")))</f>
        <v>1.3220000000000001</v>
      </c>
    </row>
    <row r="882" spans="1:2">
      <c r="A882" t="str">
        <f>Prices!A888</f>
        <v>40279-02</v>
      </c>
      <c r="B882" s="470">
        <f>IF('Flow Indicator Parts List'!$D$2="CDN$",_xlfn.XLOOKUP(A882,Prices!A:A,Prices!D:D),IF('Flow Indicator Parts List'!$D$2="US$",_xlfn.XLOOKUP(CurrencyModifier!A882,Prices!A:A,Prices!E:E,"MISSING")))</f>
        <v>1.3220000000000001</v>
      </c>
    </row>
    <row r="883" spans="1:2">
      <c r="A883" t="str">
        <f>Prices!A889</f>
        <v>40279-03</v>
      </c>
      <c r="B883" s="470">
        <f>IF('Flow Indicator Parts List'!$D$2="CDN$",_xlfn.XLOOKUP(A883,Prices!A:A,Prices!D:D),IF('Flow Indicator Parts List'!$D$2="US$",_xlfn.XLOOKUP(CurrencyModifier!A883,Prices!A:A,Prices!E:E,"MISSING")))</f>
        <v>1.3220000000000001</v>
      </c>
    </row>
    <row r="884" spans="1:2">
      <c r="A884" t="str">
        <f>Prices!A890</f>
        <v>40279-04</v>
      </c>
      <c r="B884" s="470">
        <f>IF('Flow Indicator Parts List'!$D$2="CDN$",_xlfn.XLOOKUP(A884,Prices!A:A,Prices!D:D),IF('Flow Indicator Parts List'!$D$2="US$",_xlfn.XLOOKUP(CurrencyModifier!A884,Prices!A:A,Prices!E:E,"MISSING")))</f>
        <v>1.3220000000000001</v>
      </c>
    </row>
    <row r="885" spans="1:2">
      <c r="A885" t="str">
        <f>Prices!A891</f>
        <v>40279-05</v>
      </c>
      <c r="B885" s="470">
        <f>IF('Flow Indicator Parts List'!$D$2="CDN$",_xlfn.XLOOKUP(A885,Prices!A:A,Prices!D:D),IF('Flow Indicator Parts List'!$D$2="US$",_xlfn.XLOOKUP(CurrencyModifier!A885,Prices!A:A,Prices!E:E,"MISSING")))</f>
        <v>1.3220000000000001</v>
      </c>
    </row>
    <row r="886" spans="1:2">
      <c r="A886" t="str">
        <f>Prices!A892</f>
        <v>40280-005</v>
      </c>
      <c r="B886" s="470">
        <f>IF('Flow Indicator Parts List'!$D$2="CDN$",_xlfn.XLOOKUP(A886,Prices!A:A,Prices!D:D),IF('Flow Indicator Parts List'!$D$2="US$",_xlfn.XLOOKUP(CurrencyModifier!A886,Prices!A:A,Prices!E:E,"MISSING")))</f>
        <v>20.696000000000002</v>
      </c>
    </row>
    <row r="887" spans="1:2">
      <c r="A887" t="str">
        <f>Prices!A893</f>
        <v>40280-007</v>
      </c>
      <c r="B887" s="470">
        <f>IF('Flow Indicator Parts List'!$D$2="CDN$",_xlfn.XLOOKUP(A887,Prices!A:A,Prices!D:D),IF('Flow Indicator Parts List'!$D$2="US$",_xlfn.XLOOKUP(CurrencyModifier!A887,Prices!A:A,Prices!E:E,"MISSING")))</f>
        <v>20.696000000000002</v>
      </c>
    </row>
    <row r="888" spans="1:2">
      <c r="A888" t="str">
        <f>Prices!A894</f>
        <v>40280-01</v>
      </c>
      <c r="B888" s="470">
        <f>IF('Flow Indicator Parts List'!$D$2="CDN$",_xlfn.XLOOKUP(A888,Prices!A:A,Prices!D:D),IF('Flow Indicator Parts List'!$D$2="US$",_xlfn.XLOOKUP(CurrencyModifier!A888,Prices!A:A,Prices!E:E,"MISSING")))</f>
        <v>20.696000000000002</v>
      </c>
    </row>
    <row r="889" spans="1:2">
      <c r="A889" t="str">
        <f>Prices!A895</f>
        <v>40280-015</v>
      </c>
      <c r="B889" s="470">
        <f>IF('Flow Indicator Parts List'!$D$2="CDN$",_xlfn.XLOOKUP(A889,Prices!A:A,Prices!D:D),IF('Flow Indicator Parts List'!$D$2="US$",_xlfn.XLOOKUP(CurrencyModifier!A889,Prices!A:A,Prices!E:E,"MISSING")))</f>
        <v>20.696000000000002</v>
      </c>
    </row>
    <row r="890" spans="1:2">
      <c r="A890" t="str">
        <f>Prices!A896</f>
        <v>40280-02</v>
      </c>
      <c r="B890" s="470">
        <f>IF('Flow Indicator Parts List'!$D$2="CDN$",_xlfn.XLOOKUP(A890,Prices!A:A,Prices!D:D),IF('Flow Indicator Parts List'!$D$2="US$",_xlfn.XLOOKUP(CurrencyModifier!A890,Prices!A:A,Prices!E:E,"MISSING")))</f>
        <v>20.696000000000002</v>
      </c>
    </row>
    <row r="891" spans="1:2">
      <c r="A891" t="str">
        <f>Prices!A897</f>
        <v>40280-025</v>
      </c>
      <c r="B891" s="470">
        <f>IF('Flow Indicator Parts List'!$D$2="CDN$",_xlfn.XLOOKUP(A891,Prices!A:A,Prices!D:D),IF('Flow Indicator Parts List'!$D$2="US$",_xlfn.XLOOKUP(CurrencyModifier!A891,Prices!A:A,Prices!E:E,"MISSING")))</f>
        <v>20.696000000000002</v>
      </c>
    </row>
    <row r="892" spans="1:2">
      <c r="A892" t="str">
        <f>Prices!A898</f>
        <v>40280-03</v>
      </c>
      <c r="B892" s="470">
        <f>IF('Flow Indicator Parts List'!$D$2="CDN$",_xlfn.XLOOKUP(A892,Prices!A:A,Prices!D:D),IF('Flow Indicator Parts List'!$D$2="US$",_xlfn.XLOOKUP(CurrencyModifier!A892,Prices!A:A,Prices!E:E,"MISSING")))</f>
        <v>20.696000000000002</v>
      </c>
    </row>
    <row r="893" spans="1:2">
      <c r="A893" t="str">
        <f>Prices!A899</f>
        <v>40280-04</v>
      </c>
      <c r="B893" s="470">
        <f>IF('Flow Indicator Parts List'!$D$2="CDN$",_xlfn.XLOOKUP(A893,Prices!A:A,Prices!D:D),IF('Flow Indicator Parts List'!$D$2="US$",_xlfn.XLOOKUP(CurrencyModifier!A893,Prices!A:A,Prices!E:E,"MISSING")))</f>
        <v>20.696000000000002</v>
      </c>
    </row>
    <row r="894" spans="1:2">
      <c r="A894" t="str">
        <f>Prices!A900</f>
        <v>40280-05</v>
      </c>
      <c r="B894" s="470">
        <f>IF('Flow Indicator Parts List'!$D$2="CDN$",_xlfn.XLOOKUP(A894,Prices!A:A,Prices!D:D),IF('Flow Indicator Parts List'!$D$2="US$",_xlfn.XLOOKUP(CurrencyModifier!A894,Prices!A:A,Prices!E:E,"MISSING")))</f>
        <v>20.696000000000002</v>
      </c>
    </row>
    <row r="895" spans="1:2">
      <c r="A895" t="str">
        <f>Prices!A901</f>
        <v>40280-06</v>
      </c>
      <c r="B895" s="470">
        <f>IF('Flow Indicator Parts List'!$D$2="CDN$",_xlfn.XLOOKUP(A895,Prices!A:A,Prices!D:D),IF('Flow Indicator Parts List'!$D$2="US$",_xlfn.XLOOKUP(CurrencyModifier!A895,Prices!A:A,Prices!E:E,"MISSING")))</f>
        <v>20.696000000000002</v>
      </c>
    </row>
    <row r="896" spans="1:2">
      <c r="A896" t="str">
        <f>Prices!A902</f>
        <v>40280-08</v>
      </c>
      <c r="B896" s="470">
        <f>IF('Flow Indicator Parts List'!$D$2="CDN$",_xlfn.XLOOKUP(A896,Prices!A:A,Prices!D:D),IF('Flow Indicator Parts List'!$D$2="US$",_xlfn.XLOOKUP(CurrencyModifier!A896,Prices!A:A,Prices!E:E,"MISSING")))</f>
        <v>20.696000000000002</v>
      </c>
    </row>
    <row r="897" spans="1:2">
      <c r="A897" t="str">
        <f>Prices!A903</f>
        <v>40280-10</v>
      </c>
      <c r="B897" s="470">
        <f>IF('Flow Indicator Parts List'!$D$2="CDN$",_xlfn.XLOOKUP(A897,Prices!A:A,Prices!D:D),IF('Flow Indicator Parts List'!$D$2="US$",_xlfn.XLOOKUP(CurrencyModifier!A897,Prices!A:A,Prices!E:E,"MISSING")))</f>
        <v>20.696000000000002</v>
      </c>
    </row>
    <row r="898" spans="1:2">
      <c r="A898" t="str">
        <f>Prices!A904</f>
        <v>40280-125</v>
      </c>
      <c r="B898" s="470">
        <f>IF('Flow Indicator Parts List'!$D$2="CDN$",_xlfn.XLOOKUP(A898,Prices!A:A,Prices!D:D),IF('Flow Indicator Parts List'!$D$2="US$",_xlfn.XLOOKUP(CurrencyModifier!A898,Prices!A:A,Prices!E:E,"MISSING")))</f>
        <v>20.696000000000002</v>
      </c>
    </row>
    <row r="899" spans="1:2">
      <c r="A899" t="str">
        <f>Prices!A905</f>
        <v>40280-15</v>
      </c>
      <c r="B899" s="470">
        <f>IF('Flow Indicator Parts List'!$D$2="CDN$",_xlfn.XLOOKUP(A899,Prices!A:A,Prices!D:D),IF('Flow Indicator Parts List'!$D$2="US$",_xlfn.XLOOKUP(CurrencyModifier!A899,Prices!A:A,Prices!E:E,"MISSING")))</f>
        <v>20.696000000000002</v>
      </c>
    </row>
    <row r="900" spans="1:2">
      <c r="A900" t="str">
        <f>Prices!A906</f>
        <v>40280-20</v>
      </c>
      <c r="B900" s="470">
        <f>IF('Flow Indicator Parts List'!$D$2="CDN$",_xlfn.XLOOKUP(A900,Prices!A:A,Prices!D:D),IF('Flow Indicator Parts List'!$D$2="US$",_xlfn.XLOOKUP(CurrencyModifier!A900,Prices!A:A,Prices!E:E,"MISSING")))</f>
        <v>20.696000000000002</v>
      </c>
    </row>
    <row r="901" spans="1:2">
      <c r="A901" t="str">
        <f>Prices!A907</f>
        <v>40280-25</v>
      </c>
      <c r="B901" s="470">
        <f>IF('Flow Indicator Parts List'!$D$2="CDN$",_xlfn.XLOOKUP(A901,Prices!A:A,Prices!D:D),IF('Flow Indicator Parts List'!$D$2="US$",_xlfn.XLOOKUP(CurrencyModifier!A901,Prices!A:A,Prices!E:E,"MISSING")))</f>
        <v>20.696000000000002</v>
      </c>
    </row>
    <row r="902" spans="1:2">
      <c r="A902" t="str">
        <f>Prices!A908</f>
        <v>40280-30</v>
      </c>
      <c r="B902" s="470">
        <f>IF('Flow Indicator Parts List'!$D$2="CDN$",_xlfn.XLOOKUP(A902,Prices!A:A,Prices!D:D),IF('Flow Indicator Parts List'!$D$2="US$",_xlfn.XLOOKUP(CurrencyModifier!A902,Prices!A:A,Prices!E:E,"MISSING")))</f>
        <v>20.696000000000002</v>
      </c>
    </row>
    <row r="903" spans="1:2">
      <c r="A903" t="str">
        <f>Prices!A909</f>
        <v>40281-01</v>
      </c>
      <c r="B903" s="470">
        <f>IF('Flow Indicator Parts List'!$D$2="CDN$",_xlfn.XLOOKUP(A903,Prices!A:A,Prices!D:D),IF('Flow Indicator Parts List'!$D$2="US$",_xlfn.XLOOKUP(CurrencyModifier!A903,Prices!A:A,Prices!E:E,"MISSING")))</f>
        <v>13.992000000000001</v>
      </c>
    </row>
    <row r="904" spans="1:2">
      <c r="A904" t="str">
        <f>Prices!A910</f>
        <v>40281-015</v>
      </c>
      <c r="B904" s="470">
        <f>IF('Flow Indicator Parts List'!$D$2="CDN$",_xlfn.XLOOKUP(A904,Prices!A:A,Prices!D:D),IF('Flow Indicator Parts List'!$D$2="US$",_xlfn.XLOOKUP(CurrencyModifier!A904,Prices!A:A,Prices!E:E,"MISSING")))</f>
        <v>13.992000000000001</v>
      </c>
    </row>
    <row r="905" spans="1:2">
      <c r="A905" t="str">
        <f>Prices!A911</f>
        <v>40281-02</v>
      </c>
      <c r="B905" s="470">
        <f>IF('Flow Indicator Parts List'!$D$2="CDN$",_xlfn.XLOOKUP(A905,Prices!A:A,Prices!D:D),IF('Flow Indicator Parts List'!$D$2="US$",_xlfn.XLOOKUP(CurrencyModifier!A905,Prices!A:A,Prices!E:E,"MISSING")))</f>
        <v>13.992000000000001</v>
      </c>
    </row>
    <row r="906" spans="1:2">
      <c r="A906" t="str">
        <f>Prices!A912</f>
        <v>40281-025</v>
      </c>
      <c r="B906" s="470">
        <f>IF('Flow Indicator Parts List'!$D$2="CDN$",_xlfn.XLOOKUP(A906,Prices!A:A,Prices!D:D),IF('Flow Indicator Parts List'!$D$2="US$",_xlfn.XLOOKUP(CurrencyModifier!A906,Prices!A:A,Prices!E:E,"MISSING")))</f>
        <v>13.992000000000001</v>
      </c>
    </row>
    <row r="907" spans="1:2">
      <c r="A907" t="str">
        <f>Prices!A913</f>
        <v>40281-03</v>
      </c>
      <c r="B907" s="470">
        <f>IF('Flow Indicator Parts List'!$D$2="CDN$",_xlfn.XLOOKUP(A907,Prices!A:A,Prices!D:D),IF('Flow Indicator Parts List'!$D$2="US$",_xlfn.XLOOKUP(CurrencyModifier!A907,Prices!A:A,Prices!E:E,"MISSING")))</f>
        <v>13.992000000000001</v>
      </c>
    </row>
    <row r="908" spans="1:2">
      <c r="A908" t="str">
        <f>Prices!A914</f>
        <v>40281-04</v>
      </c>
      <c r="B908" s="470">
        <f>IF('Flow Indicator Parts List'!$D$2="CDN$",_xlfn.XLOOKUP(A908,Prices!A:A,Prices!D:D),IF('Flow Indicator Parts List'!$D$2="US$",_xlfn.XLOOKUP(CurrencyModifier!A908,Prices!A:A,Prices!E:E,"MISSING")))</f>
        <v>13.992000000000001</v>
      </c>
    </row>
    <row r="909" spans="1:2">
      <c r="A909" t="str">
        <f>Prices!A915</f>
        <v>40281-05</v>
      </c>
      <c r="B909" s="470">
        <f>IF('Flow Indicator Parts List'!$D$2="CDN$",_xlfn.XLOOKUP(A909,Prices!A:A,Prices!D:D),IF('Flow Indicator Parts List'!$D$2="US$",_xlfn.XLOOKUP(CurrencyModifier!A909,Prices!A:A,Prices!E:E,"MISSING")))</f>
        <v>13.992000000000001</v>
      </c>
    </row>
    <row r="910" spans="1:2">
      <c r="A910" t="str">
        <f>Prices!A916</f>
        <v>40281-06</v>
      </c>
      <c r="B910" s="470">
        <f>IF('Flow Indicator Parts List'!$D$2="CDN$",_xlfn.XLOOKUP(A910,Prices!A:A,Prices!D:D),IF('Flow Indicator Parts List'!$D$2="US$",_xlfn.XLOOKUP(CurrencyModifier!A910,Prices!A:A,Prices!E:E,"MISSING")))</f>
        <v>13.992000000000001</v>
      </c>
    </row>
    <row r="911" spans="1:2">
      <c r="A911" t="str">
        <f>Prices!A917</f>
        <v>40281-08</v>
      </c>
      <c r="B911" s="470">
        <f>IF('Flow Indicator Parts List'!$D$2="CDN$",_xlfn.XLOOKUP(A911,Prices!A:A,Prices!D:D),IF('Flow Indicator Parts List'!$D$2="US$",_xlfn.XLOOKUP(CurrencyModifier!A911,Prices!A:A,Prices!E:E,"MISSING")))</f>
        <v>13.992000000000001</v>
      </c>
    </row>
    <row r="912" spans="1:2">
      <c r="A912" t="str">
        <f>Prices!A918</f>
        <v>40281-10</v>
      </c>
      <c r="B912" s="470">
        <f>IF('Flow Indicator Parts List'!$D$2="CDN$",_xlfn.XLOOKUP(A912,Prices!A:A,Prices!D:D),IF('Flow Indicator Parts List'!$D$2="US$",_xlfn.XLOOKUP(CurrencyModifier!A912,Prices!A:A,Prices!E:E,"MISSING")))</f>
        <v>13.992000000000001</v>
      </c>
    </row>
    <row r="913" spans="1:2">
      <c r="A913" t="str">
        <f>Prices!A919</f>
        <v>40281-125</v>
      </c>
      <c r="B913" s="470">
        <f>IF('Flow Indicator Parts List'!$D$2="CDN$",_xlfn.XLOOKUP(A913,Prices!A:A,Prices!D:D),IF('Flow Indicator Parts List'!$D$2="US$",_xlfn.XLOOKUP(CurrencyModifier!A913,Prices!A:A,Prices!E:E,"MISSING")))</f>
        <v>13.992000000000001</v>
      </c>
    </row>
    <row r="914" spans="1:2">
      <c r="A914" t="str">
        <f>Prices!A920</f>
        <v>40281-15</v>
      </c>
      <c r="B914" s="470">
        <f>IF('Flow Indicator Parts List'!$D$2="CDN$",_xlfn.XLOOKUP(A914,Prices!A:A,Prices!D:D),IF('Flow Indicator Parts List'!$D$2="US$",_xlfn.XLOOKUP(CurrencyModifier!A914,Prices!A:A,Prices!E:E,"MISSING")))</f>
        <v>13.992000000000001</v>
      </c>
    </row>
    <row r="915" spans="1:2">
      <c r="A915" t="str">
        <f>Prices!A921</f>
        <v>40281-20</v>
      </c>
      <c r="B915" s="470">
        <f>IF('Flow Indicator Parts List'!$D$2="CDN$",_xlfn.XLOOKUP(A915,Prices!A:A,Prices!D:D),IF('Flow Indicator Parts List'!$D$2="US$",_xlfn.XLOOKUP(CurrencyModifier!A915,Prices!A:A,Prices!E:E,"MISSING")))</f>
        <v>13.992000000000001</v>
      </c>
    </row>
    <row r="916" spans="1:2">
      <c r="A916" t="str">
        <f>Prices!A922</f>
        <v>40281-25</v>
      </c>
      <c r="B916" s="470">
        <f>IF('Flow Indicator Parts List'!$D$2="CDN$",_xlfn.XLOOKUP(A916,Prices!A:A,Prices!D:D),IF('Flow Indicator Parts List'!$D$2="US$",_xlfn.XLOOKUP(CurrencyModifier!A916,Prices!A:A,Prices!E:E,"MISSING")))</f>
        <v>13.992000000000001</v>
      </c>
    </row>
    <row r="917" spans="1:2">
      <c r="A917" t="str">
        <f>Prices!A923</f>
        <v>40281-30</v>
      </c>
      <c r="B917" s="470">
        <f>IF('Flow Indicator Parts List'!$D$2="CDN$",_xlfn.XLOOKUP(A917,Prices!A:A,Prices!D:D),IF('Flow Indicator Parts List'!$D$2="US$",_xlfn.XLOOKUP(CurrencyModifier!A917,Prices!A:A,Prices!E:E,"MISSING")))</f>
        <v>13.992000000000001</v>
      </c>
    </row>
    <row r="918" spans="1:2">
      <c r="A918" t="str">
        <f>Prices!A924</f>
        <v>40285-005</v>
      </c>
      <c r="B918" s="470">
        <f>IF('Flow Indicator Parts List'!$D$2="CDN$",_xlfn.XLOOKUP(A918,Prices!A:A,Prices!D:D),IF('Flow Indicator Parts List'!$D$2="US$",_xlfn.XLOOKUP(CurrencyModifier!A918,Prices!A:A,Prices!E:E,"MISSING")))</f>
        <v>9.4629999999999992</v>
      </c>
    </row>
    <row r="919" spans="1:2">
      <c r="A919" t="str">
        <f>Prices!A925</f>
        <v>40285-007</v>
      </c>
      <c r="B919" s="470">
        <f>IF('Flow Indicator Parts List'!$D$2="CDN$",_xlfn.XLOOKUP(A919,Prices!A:A,Prices!D:D),IF('Flow Indicator Parts List'!$D$2="US$",_xlfn.XLOOKUP(CurrencyModifier!A919,Prices!A:A,Prices!E:E,"MISSING")))</f>
        <v>9.4629999999999992</v>
      </c>
    </row>
    <row r="920" spans="1:2">
      <c r="A920" t="str">
        <f>Prices!A926</f>
        <v>40285-01</v>
      </c>
      <c r="B920" s="470">
        <f>IF('Flow Indicator Parts List'!$D$2="CDN$",_xlfn.XLOOKUP(A920,Prices!A:A,Prices!D:D),IF('Flow Indicator Parts List'!$D$2="US$",_xlfn.XLOOKUP(CurrencyModifier!A920,Prices!A:A,Prices!E:E,"MISSING")))</f>
        <v>7.125</v>
      </c>
    </row>
    <row r="921" spans="1:2">
      <c r="A921" t="str">
        <f>Prices!A927</f>
        <v>40285-015</v>
      </c>
      <c r="B921" s="470">
        <f>IF('Flow Indicator Parts List'!$D$2="CDN$",_xlfn.XLOOKUP(A921,Prices!A:A,Prices!D:D),IF('Flow Indicator Parts List'!$D$2="US$",_xlfn.XLOOKUP(CurrencyModifier!A921,Prices!A:A,Prices!E:E,"MISSING")))</f>
        <v>7.125</v>
      </c>
    </row>
    <row r="922" spans="1:2">
      <c r="A922" t="str">
        <f>Prices!A928</f>
        <v>40285-02</v>
      </c>
      <c r="B922" s="470">
        <f>IF('Flow Indicator Parts List'!$D$2="CDN$",_xlfn.XLOOKUP(A922,Prices!A:A,Prices!D:D),IF('Flow Indicator Parts List'!$D$2="US$",_xlfn.XLOOKUP(CurrencyModifier!A922,Prices!A:A,Prices!E:E,"MISSING")))</f>
        <v>7.125</v>
      </c>
    </row>
    <row r="923" spans="1:2">
      <c r="A923" t="str">
        <f>Prices!A929</f>
        <v>40285-025</v>
      </c>
      <c r="B923" s="470">
        <f>IF('Flow Indicator Parts List'!$D$2="CDN$",_xlfn.XLOOKUP(A923,Prices!A:A,Prices!D:D),IF('Flow Indicator Parts List'!$D$2="US$",_xlfn.XLOOKUP(CurrencyModifier!A923,Prices!A:A,Prices!E:E,"MISSING")))</f>
        <v>7.125</v>
      </c>
    </row>
    <row r="924" spans="1:2">
      <c r="A924" t="str">
        <f>Prices!A930</f>
        <v>40285-03</v>
      </c>
      <c r="B924" s="470">
        <f>IF('Flow Indicator Parts List'!$D$2="CDN$",_xlfn.XLOOKUP(A924,Prices!A:A,Prices!D:D),IF('Flow Indicator Parts List'!$D$2="US$",_xlfn.XLOOKUP(CurrencyModifier!A924,Prices!A:A,Prices!E:E,"MISSING")))</f>
        <v>7.125</v>
      </c>
    </row>
    <row r="925" spans="1:2">
      <c r="A925" t="str">
        <f>Prices!A931</f>
        <v>40285-04</v>
      </c>
      <c r="B925" s="470">
        <f>IF('Flow Indicator Parts List'!$D$2="CDN$",_xlfn.XLOOKUP(A925,Prices!A:A,Prices!D:D),IF('Flow Indicator Parts List'!$D$2="US$",_xlfn.XLOOKUP(CurrencyModifier!A925,Prices!A:A,Prices!E:E,"MISSING")))</f>
        <v>7.125</v>
      </c>
    </row>
    <row r="926" spans="1:2">
      <c r="A926" t="str">
        <f>Prices!A932</f>
        <v>40285-05</v>
      </c>
      <c r="B926" s="470">
        <f>IF('Flow Indicator Parts List'!$D$2="CDN$",_xlfn.XLOOKUP(A926,Prices!A:A,Prices!D:D),IF('Flow Indicator Parts List'!$D$2="US$",_xlfn.XLOOKUP(CurrencyModifier!A926,Prices!A:A,Prices!E:E,"MISSING")))</f>
        <v>7.125</v>
      </c>
    </row>
    <row r="927" spans="1:2">
      <c r="A927" t="str">
        <f>Prices!A933</f>
        <v>40285-06</v>
      </c>
      <c r="B927" s="470">
        <f>IF('Flow Indicator Parts List'!$D$2="CDN$",_xlfn.XLOOKUP(A927,Prices!A:A,Prices!D:D),IF('Flow Indicator Parts List'!$D$2="US$",_xlfn.XLOOKUP(CurrencyModifier!A927,Prices!A:A,Prices!E:E,"MISSING")))</f>
        <v>7.125</v>
      </c>
    </row>
    <row r="928" spans="1:2">
      <c r="A928" t="str">
        <f>Prices!A934</f>
        <v>40285-08</v>
      </c>
      <c r="B928" s="470">
        <f>IF('Flow Indicator Parts List'!$D$2="CDN$",_xlfn.XLOOKUP(A928,Prices!A:A,Prices!D:D),IF('Flow Indicator Parts List'!$D$2="US$",_xlfn.XLOOKUP(CurrencyModifier!A928,Prices!A:A,Prices!E:E,"MISSING")))</f>
        <v>7.125</v>
      </c>
    </row>
    <row r="929" spans="1:2">
      <c r="A929" t="str">
        <f>Prices!A935</f>
        <v>40285-08S</v>
      </c>
      <c r="B929" s="470">
        <f>IF('Flow Indicator Parts List'!$D$2="CDN$",_xlfn.XLOOKUP(A929,Prices!A:A,Prices!D:D),IF('Flow Indicator Parts List'!$D$2="US$",_xlfn.XLOOKUP(CurrencyModifier!A929,Prices!A:A,Prices!E:E,"MISSING")))</f>
        <v>7.125</v>
      </c>
    </row>
    <row r="930" spans="1:2">
      <c r="A930" t="str">
        <f>Prices!A936</f>
        <v>40285-10</v>
      </c>
      <c r="B930" s="470">
        <f>IF('Flow Indicator Parts List'!$D$2="CDN$",_xlfn.XLOOKUP(A930,Prices!A:A,Prices!D:D),IF('Flow Indicator Parts List'!$D$2="US$",_xlfn.XLOOKUP(CurrencyModifier!A930,Prices!A:A,Prices!E:E,"MISSING")))</f>
        <v>7.125</v>
      </c>
    </row>
    <row r="931" spans="1:2">
      <c r="A931" t="str">
        <f>Prices!A937</f>
        <v>40285-10S</v>
      </c>
      <c r="B931" s="470">
        <f>IF('Flow Indicator Parts List'!$D$2="CDN$",_xlfn.XLOOKUP(A931,Prices!A:A,Prices!D:D),IF('Flow Indicator Parts List'!$D$2="US$",_xlfn.XLOOKUP(CurrencyModifier!A931,Prices!A:A,Prices!E:E,"MISSING")))</f>
        <v>7.125</v>
      </c>
    </row>
    <row r="932" spans="1:2">
      <c r="A932" t="str">
        <f>Prices!A938</f>
        <v>40285-125</v>
      </c>
      <c r="B932" s="470">
        <f>IF('Flow Indicator Parts List'!$D$2="CDN$",_xlfn.XLOOKUP(A932,Prices!A:A,Prices!D:D),IF('Flow Indicator Parts List'!$D$2="US$",_xlfn.XLOOKUP(CurrencyModifier!A932,Prices!A:A,Prices!E:E,"MISSING")))</f>
        <v>7.125</v>
      </c>
    </row>
    <row r="933" spans="1:2">
      <c r="A933" t="str">
        <f>Prices!A939</f>
        <v>40285-13S</v>
      </c>
      <c r="B933" s="470">
        <f>IF('Flow Indicator Parts List'!$D$2="CDN$",_xlfn.XLOOKUP(A933,Prices!A:A,Prices!D:D),IF('Flow Indicator Parts List'!$D$2="US$",_xlfn.XLOOKUP(CurrencyModifier!A933,Prices!A:A,Prices!E:E,"MISSING")))</f>
        <v>7.125</v>
      </c>
    </row>
    <row r="934" spans="1:2">
      <c r="A934" t="str">
        <f>Prices!A940</f>
        <v>40285-15</v>
      </c>
      <c r="B934" s="470">
        <f>IF('Flow Indicator Parts List'!$D$2="CDN$",_xlfn.XLOOKUP(A934,Prices!A:A,Prices!D:D),IF('Flow Indicator Parts List'!$D$2="US$",_xlfn.XLOOKUP(CurrencyModifier!A934,Prices!A:A,Prices!E:E,"MISSING")))</f>
        <v>7.125</v>
      </c>
    </row>
    <row r="935" spans="1:2">
      <c r="A935" t="str">
        <f>Prices!A941</f>
        <v>40285-20</v>
      </c>
      <c r="B935" s="470">
        <f>IF('Flow Indicator Parts List'!$D$2="CDN$",_xlfn.XLOOKUP(A935,Prices!A:A,Prices!D:D),IF('Flow Indicator Parts List'!$D$2="US$",_xlfn.XLOOKUP(CurrencyModifier!A935,Prices!A:A,Prices!E:E,"MISSING")))</f>
        <v>7.125</v>
      </c>
    </row>
    <row r="936" spans="1:2">
      <c r="A936" t="str">
        <f>Prices!A942</f>
        <v>40285-25</v>
      </c>
      <c r="B936" s="470">
        <f>IF('Flow Indicator Parts List'!$D$2="CDN$",_xlfn.XLOOKUP(A936,Prices!A:A,Prices!D:D),IF('Flow Indicator Parts List'!$D$2="US$",_xlfn.XLOOKUP(CurrencyModifier!A936,Prices!A:A,Prices!E:E,"MISSING")))</f>
        <v>7.125</v>
      </c>
    </row>
    <row r="937" spans="1:2">
      <c r="A937" t="str">
        <f>Prices!A943</f>
        <v>40285-30</v>
      </c>
      <c r="B937" s="470">
        <f>IF('Flow Indicator Parts List'!$D$2="CDN$",_xlfn.XLOOKUP(A937,Prices!A:A,Prices!D:D),IF('Flow Indicator Parts List'!$D$2="US$",_xlfn.XLOOKUP(CurrencyModifier!A937,Prices!A:A,Prices!E:E,"MISSING")))</f>
        <v>7.125</v>
      </c>
    </row>
    <row r="938" spans="1:2">
      <c r="A938" t="str">
        <f>Prices!A944</f>
        <v>40285-40</v>
      </c>
      <c r="B938" s="470">
        <f>IF('Flow Indicator Parts List'!$D$2="CDN$",_xlfn.XLOOKUP(A938,Prices!A:A,Prices!D:D),IF('Flow Indicator Parts List'!$D$2="US$",_xlfn.XLOOKUP(CurrencyModifier!A938,Prices!A:A,Prices!E:E,"MISSING")))</f>
        <v>7.125</v>
      </c>
    </row>
    <row r="939" spans="1:2">
      <c r="A939" t="str">
        <f>Prices!A945</f>
        <v>40285-50</v>
      </c>
      <c r="B939" s="470">
        <f>IF('Flow Indicator Parts List'!$D$2="CDN$",_xlfn.XLOOKUP(A939,Prices!A:A,Prices!D:D),IF('Flow Indicator Parts List'!$D$2="US$",_xlfn.XLOOKUP(CurrencyModifier!A939,Prices!A:A,Prices!E:E,"MISSING")))</f>
        <v>7.125</v>
      </c>
    </row>
    <row r="940" spans="1:2">
      <c r="A940" t="str">
        <f>Prices!A946</f>
        <v>40285-XX</v>
      </c>
      <c r="B940" s="470">
        <f>IF('Flow Indicator Parts List'!$D$2="CDN$",_xlfn.XLOOKUP(A940,Prices!A:A,Prices!D:D),IF('Flow Indicator Parts List'!$D$2="US$",_xlfn.XLOOKUP(CurrencyModifier!A940,Prices!A:A,Prices!E:E,"MISSING")))</f>
        <v>7.12</v>
      </c>
    </row>
    <row r="941" spans="1:2">
      <c r="A941" t="str">
        <f>Prices!A947</f>
        <v>40286-015</v>
      </c>
      <c r="B941" s="470">
        <f>IF('Flow Indicator Parts List'!$D$2="CDN$",_xlfn.XLOOKUP(A941,Prices!A:A,Prices!D:D),IF('Flow Indicator Parts List'!$D$2="US$",_xlfn.XLOOKUP(CurrencyModifier!A941,Prices!A:A,Prices!E:E,"MISSING")))</f>
        <v>20.696000000000002</v>
      </c>
    </row>
    <row r="942" spans="1:2">
      <c r="A942" t="str">
        <f>Prices!A948</f>
        <v>40286-02</v>
      </c>
      <c r="B942" s="470">
        <f>IF('Flow Indicator Parts List'!$D$2="CDN$",_xlfn.XLOOKUP(A942,Prices!A:A,Prices!D:D),IF('Flow Indicator Parts List'!$D$2="US$",_xlfn.XLOOKUP(CurrencyModifier!A942,Prices!A:A,Prices!E:E,"MISSING")))</f>
        <v>20.696000000000002</v>
      </c>
    </row>
    <row r="943" spans="1:2">
      <c r="A943" t="str">
        <f>Prices!A949</f>
        <v>40286-025</v>
      </c>
      <c r="B943" s="470">
        <f>IF('Flow Indicator Parts List'!$D$2="CDN$",_xlfn.XLOOKUP(A943,Prices!A:A,Prices!D:D),IF('Flow Indicator Parts List'!$D$2="US$",_xlfn.XLOOKUP(CurrencyModifier!A943,Prices!A:A,Prices!E:E,"MISSING")))</f>
        <v>20.696000000000002</v>
      </c>
    </row>
    <row r="944" spans="1:2">
      <c r="A944" t="str">
        <f>Prices!A950</f>
        <v>40286-03</v>
      </c>
      <c r="B944" s="470">
        <f>IF('Flow Indicator Parts List'!$D$2="CDN$",_xlfn.XLOOKUP(A944,Prices!A:A,Prices!D:D),IF('Flow Indicator Parts List'!$D$2="US$",_xlfn.XLOOKUP(CurrencyModifier!A944,Prices!A:A,Prices!E:E,"MISSING")))</f>
        <v>20.696000000000002</v>
      </c>
    </row>
    <row r="945" spans="1:2">
      <c r="A945" t="str">
        <f>Prices!A951</f>
        <v>40286-04</v>
      </c>
      <c r="B945" s="470">
        <f>IF('Flow Indicator Parts List'!$D$2="CDN$",_xlfn.XLOOKUP(A945,Prices!A:A,Prices!D:D),IF('Flow Indicator Parts List'!$D$2="US$",_xlfn.XLOOKUP(CurrencyModifier!A945,Prices!A:A,Prices!E:E,"MISSING")))</f>
        <v>20.696000000000002</v>
      </c>
    </row>
    <row r="946" spans="1:2">
      <c r="A946" t="str">
        <f>Prices!A952</f>
        <v>40286-05</v>
      </c>
      <c r="B946" s="470">
        <f>IF('Flow Indicator Parts List'!$D$2="CDN$",_xlfn.XLOOKUP(A946,Prices!A:A,Prices!D:D),IF('Flow Indicator Parts List'!$D$2="US$",_xlfn.XLOOKUP(CurrencyModifier!A946,Prices!A:A,Prices!E:E,"MISSING")))</f>
        <v>20.696000000000002</v>
      </c>
    </row>
    <row r="947" spans="1:2">
      <c r="A947" t="str">
        <f>Prices!A953</f>
        <v>40286-06</v>
      </c>
      <c r="B947" s="470">
        <f>IF('Flow Indicator Parts List'!$D$2="CDN$",_xlfn.XLOOKUP(A947,Prices!A:A,Prices!D:D),IF('Flow Indicator Parts List'!$D$2="US$",_xlfn.XLOOKUP(CurrencyModifier!A947,Prices!A:A,Prices!E:E,"MISSING")))</f>
        <v>20.696000000000002</v>
      </c>
    </row>
    <row r="948" spans="1:2">
      <c r="A948" t="str">
        <f>Prices!A954</f>
        <v>40286-08</v>
      </c>
      <c r="B948" s="470">
        <f>IF('Flow Indicator Parts List'!$D$2="CDN$",_xlfn.XLOOKUP(A948,Prices!A:A,Prices!D:D),IF('Flow Indicator Parts List'!$D$2="US$",_xlfn.XLOOKUP(CurrencyModifier!A948,Prices!A:A,Prices!E:E,"MISSING")))</f>
        <v>20.696000000000002</v>
      </c>
    </row>
    <row r="949" spans="1:2">
      <c r="A949" t="str">
        <f>Prices!A955</f>
        <v>40286-10</v>
      </c>
      <c r="B949" s="470">
        <f>IF('Flow Indicator Parts List'!$D$2="CDN$",_xlfn.XLOOKUP(A949,Prices!A:A,Prices!D:D),IF('Flow Indicator Parts List'!$D$2="US$",_xlfn.XLOOKUP(CurrencyModifier!A949,Prices!A:A,Prices!E:E,"MISSING")))</f>
        <v>20.696000000000002</v>
      </c>
    </row>
    <row r="950" spans="1:2">
      <c r="A950" t="str">
        <f>Prices!A956</f>
        <v>40286-125</v>
      </c>
      <c r="B950" s="470">
        <f>IF('Flow Indicator Parts List'!$D$2="CDN$",_xlfn.XLOOKUP(A950,Prices!A:A,Prices!D:D),IF('Flow Indicator Parts List'!$D$2="US$",_xlfn.XLOOKUP(CurrencyModifier!A950,Prices!A:A,Prices!E:E,"MISSING")))</f>
        <v>20.696000000000002</v>
      </c>
    </row>
    <row r="951" spans="1:2">
      <c r="A951" t="str">
        <f>Prices!A957</f>
        <v>40286-15</v>
      </c>
      <c r="B951" s="470">
        <f>IF('Flow Indicator Parts List'!$D$2="CDN$",_xlfn.XLOOKUP(A951,Prices!A:A,Prices!D:D),IF('Flow Indicator Parts List'!$D$2="US$",_xlfn.XLOOKUP(CurrencyModifier!A951,Prices!A:A,Prices!E:E,"MISSING")))</f>
        <v>20.696000000000002</v>
      </c>
    </row>
    <row r="952" spans="1:2">
      <c r="A952" t="str">
        <f>Prices!A958</f>
        <v>40286-20</v>
      </c>
      <c r="B952" s="470">
        <f>IF('Flow Indicator Parts List'!$D$2="CDN$",_xlfn.XLOOKUP(A952,Prices!A:A,Prices!D:D),IF('Flow Indicator Parts List'!$D$2="US$",_xlfn.XLOOKUP(CurrencyModifier!A952,Prices!A:A,Prices!E:E,"MISSING")))</f>
        <v>20.696000000000002</v>
      </c>
    </row>
    <row r="953" spans="1:2">
      <c r="A953" t="str">
        <f>Prices!A959</f>
        <v>40287-015</v>
      </c>
      <c r="B953" s="470">
        <f>IF('Flow Indicator Parts List'!$D$2="CDN$",_xlfn.XLOOKUP(A953,Prices!A:A,Prices!D:D),IF('Flow Indicator Parts List'!$D$2="US$",_xlfn.XLOOKUP(CurrencyModifier!A953,Prices!A:A,Prices!E:E,"MISSING")))</f>
        <v>20.696000000000002</v>
      </c>
    </row>
    <row r="954" spans="1:2">
      <c r="A954" t="str">
        <f>Prices!A960</f>
        <v>40287-02</v>
      </c>
      <c r="B954" s="470">
        <f>IF('Flow Indicator Parts List'!$D$2="CDN$",_xlfn.XLOOKUP(A954,Prices!A:A,Prices!D:D),IF('Flow Indicator Parts List'!$D$2="US$",_xlfn.XLOOKUP(CurrencyModifier!A954,Prices!A:A,Prices!E:E,"MISSING")))</f>
        <v>20.696000000000002</v>
      </c>
    </row>
    <row r="955" spans="1:2">
      <c r="A955" t="str">
        <f>Prices!A961</f>
        <v>40287-025</v>
      </c>
      <c r="B955" s="470">
        <f>IF('Flow Indicator Parts List'!$D$2="CDN$",_xlfn.XLOOKUP(A955,Prices!A:A,Prices!D:D),IF('Flow Indicator Parts List'!$D$2="US$",_xlfn.XLOOKUP(CurrencyModifier!A955,Prices!A:A,Prices!E:E,"MISSING")))</f>
        <v>20.696000000000002</v>
      </c>
    </row>
    <row r="956" spans="1:2">
      <c r="A956" t="str">
        <f>Prices!A962</f>
        <v>40287-03</v>
      </c>
      <c r="B956" s="470">
        <f>IF('Flow Indicator Parts List'!$D$2="CDN$",_xlfn.XLOOKUP(A956,Prices!A:A,Prices!D:D),IF('Flow Indicator Parts List'!$D$2="US$",_xlfn.XLOOKUP(CurrencyModifier!A956,Prices!A:A,Prices!E:E,"MISSING")))</f>
        <v>20.696000000000002</v>
      </c>
    </row>
    <row r="957" spans="1:2">
      <c r="A957" t="str">
        <f>Prices!A963</f>
        <v>40287-04</v>
      </c>
      <c r="B957" s="470">
        <f>IF('Flow Indicator Parts List'!$D$2="CDN$",_xlfn.XLOOKUP(A957,Prices!A:A,Prices!D:D),IF('Flow Indicator Parts List'!$D$2="US$",_xlfn.XLOOKUP(CurrencyModifier!A957,Prices!A:A,Prices!E:E,"MISSING")))</f>
        <v>20.696000000000002</v>
      </c>
    </row>
    <row r="958" spans="1:2">
      <c r="A958" t="str">
        <f>Prices!A964</f>
        <v>40287-05</v>
      </c>
      <c r="B958" s="470">
        <f>IF('Flow Indicator Parts List'!$D$2="CDN$",_xlfn.XLOOKUP(A958,Prices!A:A,Prices!D:D),IF('Flow Indicator Parts List'!$D$2="US$",_xlfn.XLOOKUP(CurrencyModifier!A958,Prices!A:A,Prices!E:E,"MISSING")))</f>
        <v>20.696000000000002</v>
      </c>
    </row>
    <row r="959" spans="1:2">
      <c r="A959" t="str">
        <f>Prices!A965</f>
        <v>40287-06</v>
      </c>
      <c r="B959" s="470">
        <f>IF('Flow Indicator Parts List'!$D$2="CDN$",_xlfn.XLOOKUP(A959,Prices!A:A,Prices!D:D),IF('Flow Indicator Parts List'!$D$2="US$",_xlfn.XLOOKUP(CurrencyModifier!A959,Prices!A:A,Prices!E:E,"MISSING")))</f>
        <v>20.696000000000002</v>
      </c>
    </row>
    <row r="960" spans="1:2">
      <c r="A960" t="str">
        <f>Prices!A966</f>
        <v>40287-08</v>
      </c>
      <c r="B960" s="470">
        <f>IF('Flow Indicator Parts List'!$D$2="CDN$",_xlfn.XLOOKUP(A960,Prices!A:A,Prices!D:D),IF('Flow Indicator Parts List'!$D$2="US$",_xlfn.XLOOKUP(CurrencyModifier!A960,Prices!A:A,Prices!E:E,"MISSING")))</f>
        <v>20.696000000000002</v>
      </c>
    </row>
    <row r="961" spans="1:2">
      <c r="A961" t="str">
        <f>Prices!A967</f>
        <v>40287-10</v>
      </c>
      <c r="B961" s="470">
        <f>IF('Flow Indicator Parts List'!$D$2="CDN$",_xlfn.XLOOKUP(A961,Prices!A:A,Prices!D:D),IF('Flow Indicator Parts List'!$D$2="US$",_xlfn.XLOOKUP(CurrencyModifier!A961,Prices!A:A,Prices!E:E,"MISSING")))</f>
        <v>20.696000000000002</v>
      </c>
    </row>
    <row r="962" spans="1:2">
      <c r="A962" t="str">
        <f>Prices!A968</f>
        <v>40287-125</v>
      </c>
      <c r="B962" s="470">
        <f>IF('Flow Indicator Parts List'!$D$2="CDN$",_xlfn.XLOOKUP(A962,Prices!A:A,Prices!D:D),IF('Flow Indicator Parts List'!$D$2="US$",_xlfn.XLOOKUP(CurrencyModifier!A962,Prices!A:A,Prices!E:E,"MISSING")))</f>
        <v>20.696000000000002</v>
      </c>
    </row>
    <row r="963" spans="1:2">
      <c r="A963" t="str">
        <f>Prices!A969</f>
        <v>40287-15</v>
      </c>
      <c r="B963" s="470">
        <f>IF('Flow Indicator Parts List'!$D$2="CDN$",_xlfn.XLOOKUP(A963,Prices!A:A,Prices!D:D),IF('Flow Indicator Parts List'!$D$2="US$",_xlfn.XLOOKUP(CurrencyModifier!A963,Prices!A:A,Prices!E:E,"MISSING")))</f>
        <v>20.696000000000002</v>
      </c>
    </row>
    <row r="964" spans="1:2">
      <c r="A964" t="str">
        <f>Prices!A970</f>
        <v>40287-20</v>
      </c>
      <c r="B964" s="470">
        <f>IF('Flow Indicator Parts List'!$D$2="CDN$",_xlfn.XLOOKUP(A964,Prices!A:A,Prices!D:D),IF('Flow Indicator Parts List'!$D$2="US$",_xlfn.XLOOKUP(CurrencyModifier!A964,Prices!A:A,Prices!E:E,"MISSING")))</f>
        <v>20.696000000000002</v>
      </c>
    </row>
    <row r="965" spans="1:2">
      <c r="A965" t="str">
        <f>Prices!A971</f>
        <v>40287-25</v>
      </c>
      <c r="B965" s="470">
        <f>IF('Flow Indicator Parts List'!$D$2="CDN$",_xlfn.XLOOKUP(A965,Prices!A:A,Prices!D:D),IF('Flow Indicator Parts List'!$D$2="US$",_xlfn.XLOOKUP(CurrencyModifier!A965,Prices!A:A,Prices!E:E,"MISSING")))</f>
        <v>20.696000000000002</v>
      </c>
    </row>
    <row r="966" spans="1:2">
      <c r="A966" t="str">
        <f>Prices!A972</f>
        <v>40288-01</v>
      </c>
      <c r="B966" s="470">
        <f>IF('Flow Indicator Parts List'!$D$2="CDN$",_xlfn.XLOOKUP(A966,Prices!A:A,Prices!D:D),IF('Flow Indicator Parts List'!$D$2="US$",_xlfn.XLOOKUP(CurrencyModifier!A966,Prices!A:A,Prices!E:E,"MISSING")))</f>
        <v>20.696000000000002</v>
      </c>
    </row>
    <row r="967" spans="1:2">
      <c r="A967" t="str">
        <f>Prices!A973</f>
        <v>40288-015</v>
      </c>
      <c r="B967" s="470">
        <f>IF('Flow Indicator Parts List'!$D$2="CDN$",_xlfn.XLOOKUP(A967,Prices!A:A,Prices!D:D),IF('Flow Indicator Parts List'!$D$2="US$",_xlfn.XLOOKUP(CurrencyModifier!A967,Prices!A:A,Prices!E:E,"MISSING")))</f>
        <v>20.696000000000002</v>
      </c>
    </row>
    <row r="968" spans="1:2">
      <c r="A968" t="str">
        <f>Prices!A974</f>
        <v>40288-02</v>
      </c>
      <c r="B968" s="470">
        <f>IF('Flow Indicator Parts List'!$D$2="CDN$",_xlfn.XLOOKUP(A968,Prices!A:A,Prices!D:D),IF('Flow Indicator Parts List'!$D$2="US$",_xlfn.XLOOKUP(CurrencyModifier!A968,Prices!A:A,Prices!E:E,"MISSING")))</f>
        <v>20.696000000000002</v>
      </c>
    </row>
    <row r="969" spans="1:2">
      <c r="A969" t="str">
        <f>Prices!A975</f>
        <v>40288-025</v>
      </c>
      <c r="B969" s="470">
        <f>IF('Flow Indicator Parts List'!$D$2="CDN$",_xlfn.XLOOKUP(A969,Prices!A:A,Prices!D:D),IF('Flow Indicator Parts List'!$D$2="US$",_xlfn.XLOOKUP(CurrencyModifier!A969,Prices!A:A,Prices!E:E,"MISSING")))</f>
        <v>20.696000000000002</v>
      </c>
    </row>
    <row r="970" spans="1:2">
      <c r="A970" t="str">
        <f>Prices!A976</f>
        <v>40288-03</v>
      </c>
      <c r="B970" s="470">
        <f>IF('Flow Indicator Parts List'!$D$2="CDN$",_xlfn.XLOOKUP(A970,Prices!A:A,Prices!D:D),IF('Flow Indicator Parts List'!$D$2="US$",_xlfn.XLOOKUP(CurrencyModifier!A970,Prices!A:A,Prices!E:E,"MISSING")))</f>
        <v>20.696000000000002</v>
      </c>
    </row>
    <row r="971" spans="1:2">
      <c r="A971" t="str">
        <f>Prices!A977</f>
        <v>40288-04</v>
      </c>
      <c r="B971" s="470">
        <f>IF('Flow Indicator Parts List'!$D$2="CDN$",_xlfn.XLOOKUP(A971,Prices!A:A,Prices!D:D),IF('Flow Indicator Parts List'!$D$2="US$",_xlfn.XLOOKUP(CurrencyModifier!A971,Prices!A:A,Prices!E:E,"MISSING")))</f>
        <v>20.696000000000002</v>
      </c>
    </row>
    <row r="972" spans="1:2">
      <c r="A972" t="str">
        <f>Prices!A978</f>
        <v>40288-05</v>
      </c>
      <c r="B972" s="470">
        <f>IF('Flow Indicator Parts List'!$D$2="CDN$",_xlfn.XLOOKUP(A972,Prices!A:A,Prices!D:D),IF('Flow Indicator Parts List'!$D$2="US$",_xlfn.XLOOKUP(CurrencyModifier!A972,Prices!A:A,Prices!E:E,"MISSING")))</f>
        <v>20.696000000000002</v>
      </c>
    </row>
    <row r="973" spans="1:2">
      <c r="A973" t="str">
        <f>Prices!A979</f>
        <v>40288-06</v>
      </c>
      <c r="B973" s="470">
        <f>IF('Flow Indicator Parts List'!$D$2="CDN$",_xlfn.XLOOKUP(A973,Prices!A:A,Prices!D:D),IF('Flow Indicator Parts List'!$D$2="US$",_xlfn.XLOOKUP(CurrencyModifier!A973,Prices!A:A,Prices!E:E,"MISSING")))</f>
        <v>20.696000000000002</v>
      </c>
    </row>
    <row r="974" spans="1:2">
      <c r="A974" t="str">
        <f>Prices!A980</f>
        <v>40288-08</v>
      </c>
      <c r="B974" s="470">
        <f>IF('Flow Indicator Parts List'!$D$2="CDN$",_xlfn.XLOOKUP(A974,Prices!A:A,Prices!D:D),IF('Flow Indicator Parts List'!$D$2="US$",_xlfn.XLOOKUP(CurrencyModifier!A974,Prices!A:A,Prices!E:E,"MISSING")))</f>
        <v>20.696000000000002</v>
      </c>
    </row>
    <row r="975" spans="1:2">
      <c r="A975" t="str">
        <f>Prices!A981</f>
        <v>40288-10</v>
      </c>
      <c r="B975" s="470">
        <f>IF('Flow Indicator Parts List'!$D$2="CDN$",_xlfn.XLOOKUP(A975,Prices!A:A,Prices!D:D),IF('Flow Indicator Parts List'!$D$2="US$",_xlfn.XLOOKUP(CurrencyModifier!A975,Prices!A:A,Prices!E:E,"MISSING")))</f>
        <v>20.696000000000002</v>
      </c>
    </row>
    <row r="976" spans="1:2">
      <c r="A976" t="str">
        <f>Prices!A982</f>
        <v>40288-125</v>
      </c>
      <c r="B976" s="470">
        <f>IF('Flow Indicator Parts List'!$D$2="CDN$",_xlfn.XLOOKUP(A976,Prices!A:A,Prices!D:D),IF('Flow Indicator Parts List'!$D$2="US$",_xlfn.XLOOKUP(CurrencyModifier!A976,Prices!A:A,Prices!E:E,"MISSING")))</f>
        <v>20.696000000000002</v>
      </c>
    </row>
    <row r="977" spans="1:2">
      <c r="A977" t="str">
        <f>Prices!A983</f>
        <v>40288-15</v>
      </c>
      <c r="B977" s="470">
        <f>IF('Flow Indicator Parts List'!$D$2="CDN$",_xlfn.XLOOKUP(A977,Prices!A:A,Prices!D:D),IF('Flow Indicator Parts List'!$D$2="US$",_xlfn.XLOOKUP(CurrencyModifier!A977,Prices!A:A,Prices!E:E,"MISSING")))</f>
        <v>20.696000000000002</v>
      </c>
    </row>
    <row r="978" spans="1:2">
      <c r="A978" t="str">
        <f>Prices!A984</f>
        <v>40288-20</v>
      </c>
      <c r="B978" s="470">
        <f>IF('Flow Indicator Parts List'!$D$2="CDN$",_xlfn.XLOOKUP(A978,Prices!A:A,Prices!D:D),IF('Flow Indicator Parts List'!$D$2="US$",_xlfn.XLOOKUP(CurrencyModifier!A978,Prices!A:A,Prices!E:E,"MISSING")))</f>
        <v>20.696000000000002</v>
      </c>
    </row>
    <row r="979" spans="1:2">
      <c r="A979" t="str">
        <f>Prices!A985</f>
        <v>40288-25</v>
      </c>
      <c r="B979" s="470">
        <f>IF('Flow Indicator Parts List'!$D$2="CDN$",_xlfn.XLOOKUP(A979,Prices!A:A,Prices!D:D),IF('Flow Indicator Parts List'!$D$2="US$",_xlfn.XLOOKUP(CurrencyModifier!A979,Prices!A:A,Prices!E:E,"MISSING")))</f>
        <v>20.696000000000002</v>
      </c>
    </row>
    <row r="980" spans="1:2">
      <c r="A980" t="str">
        <f>Prices!A986</f>
        <v>40288-30</v>
      </c>
      <c r="B980" s="470">
        <f>IF('Flow Indicator Parts List'!$D$2="CDN$",_xlfn.XLOOKUP(A980,Prices!A:A,Prices!D:D),IF('Flow Indicator Parts List'!$D$2="US$",_xlfn.XLOOKUP(CurrencyModifier!A980,Prices!A:A,Prices!E:E,"MISSING")))</f>
        <v>20.696000000000002</v>
      </c>
    </row>
    <row r="981" spans="1:2">
      <c r="A981" t="str">
        <f>Prices!A987</f>
        <v>40288-31</v>
      </c>
      <c r="B981" s="470">
        <f>IF('Flow Indicator Parts List'!$D$2="CDN$",_xlfn.XLOOKUP(A981,Prices!A:A,Prices!D:D),IF('Flow Indicator Parts List'!$D$2="US$",_xlfn.XLOOKUP(CurrencyModifier!A981,Prices!A:A,Prices!E:E,"MISSING")))</f>
        <v>20.696000000000002</v>
      </c>
    </row>
    <row r="982" spans="1:2">
      <c r="A982" t="str">
        <f>Prices!A988</f>
        <v>40288-40</v>
      </c>
      <c r="B982" s="470">
        <f>IF('Flow Indicator Parts List'!$D$2="CDN$",_xlfn.XLOOKUP(A982,Prices!A:A,Prices!D:D),IF('Flow Indicator Parts List'!$D$2="US$",_xlfn.XLOOKUP(CurrencyModifier!A982,Prices!A:A,Prices!E:E,"MISSING")))</f>
        <v>20.696000000000002</v>
      </c>
    </row>
    <row r="983" spans="1:2">
      <c r="A983" t="str">
        <f>Prices!A989</f>
        <v>40288-50</v>
      </c>
      <c r="B983" s="470">
        <f>IF('Flow Indicator Parts List'!$D$2="CDN$",_xlfn.XLOOKUP(A983,Prices!A:A,Prices!D:D),IF('Flow Indicator Parts List'!$D$2="US$",_xlfn.XLOOKUP(CurrencyModifier!A983,Prices!A:A,Prices!E:E,"MISSING")))</f>
        <v>20.696000000000002</v>
      </c>
    </row>
    <row r="984" spans="1:2">
      <c r="A984" t="str">
        <f>Prices!A990</f>
        <v>40290-005</v>
      </c>
      <c r="B984" s="470">
        <f>IF('Flow Indicator Parts List'!$D$2="CDN$",_xlfn.XLOOKUP(A984,Prices!A:A,Prices!D:D),IF('Flow Indicator Parts List'!$D$2="US$",_xlfn.XLOOKUP(CurrencyModifier!A984,Prices!A:A,Prices!E:E,"MISSING")))</f>
        <v>26.581</v>
      </c>
    </row>
    <row r="985" spans="1:2">
      <c r="A985" t="str">
        <f>Prices!A991</f>
        <v>40290-007</v>
      </c>
      <c r="B985" s="470">
        <f>IF('Flow Indicator Parts List'!$D$2="CDN$",_xlfn.XLOOKUP(A985,Prices!A:A,Prices!D:D),IF('Flow Indicator Parts List'!$D$2="US$",_xlfn.XLOOKUP(CurrencyModifier!A985,Prices!A:A,Prices!E:E,"MISSING")))</f>
        <v>20.696000000000002</v>
      </c>
    </row>
    <row r="986" spans="1:2">
      <c r="A986" t="str">
        <f>Prices!A992</f>
        <v>40290-01</v>
      </c>
      <c r="B986" s="470">
        <f>IF('Flow Indicator Parts List'!$D$2="CDN$",_xlfn.XLOOKUP(A986,Prices!A:A,Prices!D:D),IF('Flow Indicator Parts List'!$D$2="US$",_xlfn.XLOOKUP(CurrencyModifier!A986,Prices!A:A,Prices!E:E,"MISSING")))</f>
        <v>20.696000000000002</v>
      </c>
    </row>
    <row r="987" spans="1:2">
      <c r="A987" t="str">
        <f>Prices!A993</f>
        <v>40290-015</v>
      </c>
      <c r="B987" s="470">
        <f>IF('Flow Indicator Parts List'!$D$2="CDN$",_xlfn.XLOOKUP(A987,Prices!A:A,Prices!D:D),IF('Flow Indicator Parts List'!$D$2="US$",_xlfn.XLOOKUP(CurrencyModifier!A987,Prices!A:A,Prices!E:E,"MISSING")))</f>
        <v>20.696000000000002</v>
      </c>
    </row>
    <row r="988" spans="1:2">
      <c r="A988" t="str">
        <f>Prices!A994</f>
        <v>40290-02</v>
      </c>
      <c r="B988" s="470">
        <f>IF('Flow Indicator Parts List'!$D$2="CDN$",_xlfn.XLOOKUP(A988,Prices!A:A,Prices!D:D),IF('Flow Indicator Parts List'!$D$2="US$",_xlfn.XLOOKUP(CurrencyModifier!A988,Prices!A:A,Prices!E:E,"MISSING")))</f>
        <v>20.696000000000002</v>
      </c>
    </row>
    <row r="989" spans="1:2">
      <c r="A989" t="str">
        <f>Prices!A995</f>
        <v>40290-025</v>
      </c>
      <c r="B989" s="470">
        <f>IF('Flow Indicator Parts List'!$D$2="CDN$",_xlfn.XLOOKUP(A989,Prices!A:A,Prices!D:D),IF('Flow Indicator Parts List'!$D$2="US$",_xlfn.XLOOKUP(CurrencyModifier!A989,Prices!A:A,Prices!E:E,"MISSING")))</f>
        <v>20.696000000000002</v>
      </c>
    </row>
    <row r="990" spans="1:2">
      <c r="A990" t="str">
        <f>Prices!A996</f>
        <v>40290-03</v>
      </c>
      <c r="B990" s="470">
        <f>IF('Flow Indicator Parts List'!$D$2="CDN$",_xlfn.XLOOKUP(A990,Prices!A:A,Prices!D:D),IF('Flow Indicator Parts List'!$D$2="US$",_xlfn.XLOOKUP(CurrencyModifier!A990,Prices!A:A,Prices!E:E,"MISSING")))</f>
        <v>20.696000000000002</v>
      </c>
    </row>
    <row r="991" spans="1:2">
      <c r="A991" t="str">
        <f>Prices!A997</f>
        <v>40290-04</v>
      </c>
      <c r="B991" s="470">
        <f>IF('Flow Indicator Parts List'!$D$2="CDN$",_xlfn.XLOOKUP(A991,Prices!A:A,Prices!D:D),IF('Flow Indicator Parts List'!$D$2="US$",_xlfn.XLOOKUP(CurrencyModifier!A991,Prices!A:A,Prices!E:E,"MISSING")))</f>
        <v>20.696000000000002</v>
      </c>
    </row>
    <row r="992" spans="1:2">
      <c r="A992" t="str">
        <f>Prices!A998</f>
        <v>40290-05</v>
      </c>
      <c r="B992" s="470">
        <f>IF('Flow Indicator Parts List'!$D$2="CDN$",_xlfn.XLOOKUP(A992,Prices!A:A,Prices!D:D),IF('Flow Indicator Parts List'!$D$2="US$",_xlfn.XLOOKUP(CurrencyModifier!A992,Prices!A:A,Prices!E:E,"MISSING")))</f>
        <v>20.696000000000002</v>
      </c>
    </row>
    <row r="993" spans="1:2">
      <c r="A993" t="str">
        <f>Prices!A999</f>
        <v>40290-06</v>
      </c>
      <c r="B993" s="470">
        <f>IF('Flow Indicator Parts List'!$D$2="CDN$",_xlfn.XLOOKUP(A993,Prices!A:A,Prices!D:D),IF('Flow Indicator Parts List'!$D$2="US$",_xlfn.XLOOKUP(CurrencyModifier!A993,Prices!A:A,Prices!E:E,"MISSING")))</f>
        <v>20.696000000000002</v>
      </c>
    </row>
    <row r="994" spans="1:2">
      <c r="A994" t="str">
        <f>Prices!A1000</f>
        <v>40290-08</v>
      </c>
      <c r="B994" s="470">
        <f>IF('Flow Indicator Parts List'!$D$2="CDN$",_xlfn.XLOOKUP(A994,Prices!A:A,Prices!D:D),IF('Flow Indicator Parts List'!$D$2="US$",_xlfn.XLOOKUP(CurrencyModifier!A994,Prices!A:A,Prices!E:E,"MISSING")))</f>
        <v>20.696000000000002</v>
      </c>
    </row>
    <row r="995" spans="1:2">
      <c r="A995" t="str">
        <f>Prices!A1001</f>
        <v>40290-10</v>
      </c>
      <c r="B995" s="470">
        <f>IF('Flow Indicator Parts List'!$D$2="CDN$",_xlfn.XLOOKUP(A995,Prices!A:A,Prices!D:D),IF('Flow Indicator Parts List'!$D$2="US$",_xlfn.XLOOKUP(CurrencyModifier!A995,Prices!A:A,Prices!E:E,"MISSING")))</f>
        <v>20.696000000000002</v>
      </c>
    </row>
    <row r="996" spans="1:2">
      <c r="A996" t="str">
        <f>Prices!A1002</f>
        <v>40290-125</v>
      </c>
      <c r="B996" s="470">
        <f>IF('Flow Indicator Parts List'!$D$2="CDN$",_xlfn.XLOOKUP(A996,Prices!A:A,Prices!D:D),IF('Flow Indicator Parts List'!$D$2="US$",_xlfn.XLOOKUP(CurrencyModifier!A996,Prices!A:A,Prices!E:E,"MISSING")))</f>
        <v>20.696000000000002</v>
      </c>
    </row>
    <row r="997" spans="1:2">
      <c r="A997" t="str">
        <f>Prices!A1003</f>
        <v>40290-15</v>
      </c>
      <c r="B997" s="470">
        <f>IF('Flow Indicator Parts List'!$D$2="CDN$",_xlfn.XLOOKUP(A997,Prices!A:A,Prices!D:D),IF('Flow Indicator Parts List'!$D$2="US$",_xlfn.XLOOKUP(CurrencyModifier!A997,Prices!A:A,Prices!E:E,"MISSING")))</f>
        <v>20.696000000000002</v>
      </c>
    </row>
    <row r="998" spans="1:2">
      <c r="A998" t="str">
        <f>Prices!A1004</f>
        <v>40290-20</v>
      </c>
      <c r="B998" s="470">
        <f>IF('Flow Indicator Parts List'!$D$2="CDN$",_xlfn.XLOOKUP(A998,Prices!A:A,Prices!D:D),IF('Flow Indicator Parts List'!$D$2="US$",_xlfn.XLOOKUP(CurrencyModifier!A998,Prices!A:A,Prices!E:E,"MISSING")))</f>
        <v>20.696000000000002</v>
      </c>
    </row>
    <row r="999" spans="1:2">
      <c r="A999" t="str">
        <f>Prices!A1005</f>
        <v>40290-25</v>
      </c>
      <c r="B999" s="470">
        <f>IF('Flow Indicator Parts List'!$D$2="CDN$",_xlfn.XLOOKUP(A999,Prices!A:A,Prices!D:D),IF('Flow Indicator Parts List'!$D$2="US$",_xlfn.XLOOKUP(CurrencyModifier!A999,Prices!A:A,Prices!E:E,"MISSING")))</f>
        <v>20.696000000000002</v>
      </c>
    </row>
    <row r="1000" spans="1:2">
      <c r="A1000" t="str">
        <f>Prices!A1006</f>
        <v>40290-30</v>
      </c>
      <c r="B1000" s="470">
        <f>IF('Flow Indicator Parts List'!$D$2="CDN$",_xlfn.XLOOKUP(A1000,Prices!A:A,Prices!D:D),IF('Flow Indicator Parts List'!$D$2="US$",_xlfn.XLOOKUP(CurrencyModifier!A1000,Prices!A:A,Prices!E:E,"MISSING")))</f>
        <v>20.696000000000002</v>
      </c>
    </row>
    <row r="1001" spans="1:2">
      <c r="A1001" t="str">
        <f>Prices!A1007</f>
        <v>40290-40</v>
      </c>
      <c r="B1001" s="470">
        <f>IF('Flow Indicator Parts List'!$D$2="CDN$",_xlfn.XLOOKUP(A1001,Prices!A:A,Prices!D:D),IF('Flow Indicator Parts List'!$D$2="US$",_xlfn.XLOOKUP(CurrencyModifier!A1001,Prices!A:A,Prices!E:E,"MISSING")))</f>
        <v>20.696000000000002</v>
      </c>
    </row>
    <row r="1002" spans="1:2">
      <c r="A1002" t="str">
        <f>Prices!A1008</f>
        <v>40290-50</v>
      </c>
      <c r="B1002" s="470">
        <f>IF('Flow Indicator Parts List'!$D$2="CDN$",_xlfn.XLOOKUP(A1002,Prices!A:A,Prices!D:D),IF('Flow Indicator Parts List'!$D$2="US$",_xlfn.XLOOKUP(CurrencyModifier!A1002,Prices!A:A,Prices!E:E,"MISSING")))</f>
        <v>20.696000000000002</v>
      </c>
    </row>
    <row r="1003" spans="1:2">
      <c r="A1003" t="str">
        <f>Prices!A1009</f>
        <v>40291-015</v>
      </c>
      <c r="B1003" s="470">
        <f>IF('Flow Indicator Parts List'!$D$2="CDN$",_xlfn.XLOOKUP(A1003,Prices!A:A,Prices!D:D),IF('Flow Indicator Parts List'!$D$2="US$",_xlfn.XLOOKUP(CurrencyModifier!A1003,Prices!A:A,Prices!E:E,"MISSING")))</f>
        <v>20.696000000000002</v>
      </c>
    </row>
    <row r="1004" spans="1:2">
      <c r="A1004" t="str">
        <f>Prices!A1010</f>
        <v>40291-02</v>
      </c>
      <c r="B1004" s="470">
        <f>IF('Flow Indicator Parts List'!$D$2="CDN$",_xlfn.XLOOKUP(A1004,Prices!A:A,Prices!D:D),IF('Flow Indicator Parts List'!$D$2="US$",_xlfn.XLOOKUP(CurrencyModifier!A1004,Prices!A:A,Prices!E:E,"MISSING")))</f>
        <v>20.696000000000002</v>
      </c>
    </row>
    <row r="1005" spans="1:2">
      <c r="A1005" t="str">
        <f>Prices!A1011</f>
        <v>40291-025</v>
      </c>
      <c r="B1005" s="470">
        <f>IF('Flow Indicator Parts List'!$D$2="CDN$",_xlfn.XLOOKUP(A1005,Prices!A:A,Prices!D:D),IF('Flow Indicator Parts List'!$D$2="US$",_xlfn.XLOOKUP(CurrencyModifier!A1005,Prices!A:A,Prices!E:E,"MISSING")))</f>
        <v>20.696000000000002</v>
      </c>
    </row>
    <row r="1006" spans="1:2">
      <c r="A1006" t="str">
        <f>Prices!A1012</f>
        <v>40291-03</v>
      </c>
      <c r="B1006" s="470">
        <f>IF('Flow Indicator Parts List'!$D$2="CDN$",_xlfn.XLOOKUP(A1006,Prices!A:A,Prices!D:D),IF('Flow Indicator Parts List'!$D$2="US$",_xlfn.XLOOKUP(CurrencyModifier!A1006,Prices!A:A,Prices!E:E,"MISSING")))</f>
        <v>20.696000000000002</v>
      </c>
    </row>
    <row r="1007" spans="1:2">
      <c r="A1007" t="str">
        <f>Prices!A1013</f>
        <v>40291-04</v>
      </c>
      <c r="B1007" s="470">
        <f>IF('Flow Indicator Parts List'!$D$2="CDN$",_xlfn.XLOOKUP(A1007,Prices!A:A,Prices!D:D),IF('Flow Indicator Parts List'!$D$2="US$",_xlfn.XLOOKUP(CurrencyModifier!A1007,Prices!A:A,Prices!E:E,"MISSING")))</f>
        <v>20.696000000000002</v>
      </c>
    </row>
    <row r="1008" spans="1:2">
      <c r="A1008" t="str">
        <f>Prices!A1014</f>
        <v>40291-05</v>
      </c>
      <c r="B1008" s="470">
        <f>IF('Flow Indicator Parts List'!$D$2="CDN$",_xlfn.XLOOKUP(A1008,Prices!A:A,Prices!D:D),IF('Flow Indicator Parts List'!$D$2="US$",_xlfn.XLOOKUP(CurrencyModifier!A1008,Prices!A:A,Prices!E:E,"MISSING")))</f>
        <v>20.696000000000002</v>
      </c>
    </row>
    <row r="1009" spans="1:2">
      <c r="A1009" t="str">
        <f>Prices!A1015</f>
        <v>40291-06</v>
      </c>
      <c r="B1009" s="470">
        <f>IF('Flow Indicator Parts List'!$D$2="CDN$",_xlfn.XLOOKUP(A1009,Prices!A:A,Prices!D:D),IF('Flow Indicator Parts List'!$D$2="US$",_xlfn.XLOOKUP(CurrencyModifier!A1009,Prices!A:A,Prices!E:E,"MISSING")))</f>
        <v>20.696000000000002</v>
      </c>
    </row>
    <row r="1010" spans="1:2">
      <c r="A1010" t="str">
        <f>Prices!A1016</f>
        <v>40291-08</v>
      </c>
      <c r="B1010" s="470">
        <f>IF('Flow Indicator Parts List'!$D$2="CDN$",_xlfn.XLOOKUP(A1010,Prices!A:A,Prices!D:D),IF('Flow Indicator Parts List'!$D$2="US$",_xlfn.XLOOKUP(CurrencyModifier!A1010,Prices!A:A,Prices!E:E,"MISSING")))</f>
        <v>20.696000000000002</v>
      </c>
    </row>
    <row r="1011" spans="1:2">
      <c r="A1011" t="str">
        <f>Prices!A1017</f>
        <v>40291-10</v>
      </c>
      <c r="B1011" s="470">
        <f>IF('Flow Indicator Parts List'!$D$2="CDN$",_xlfn.XLOOKUP(A1011,Prices!A:A,Prices!D:D),IF('Flow Indicator Parts List'!$D$2="US$",_xlfn.XLOOKUP(CurrencyModifier!A1011,Prices!A:A,Prices!E:E,"MISSING")))</f>
        <v>20.696000000000002</v>
      </c>
    </row>
    <row r="1012" spans="1:2">
      <c r="A1012" t="str">
        <f>Prices!A1018</f>
        <v>40291-125</v>
      </c>
      <c r="B1012" s="470">
        <f>IF('Flow Indicator Parts List'!$D$2="CDN$",_xlfn.XLOOKUP(A1012,Prices!A:A,Prices!D:D),IF('Flow Indicator Parts List'!$D$2="US$",_xlfn.XLOOKUP(CurrencyModifier!A1012,Prices!A:A,Prices!E:E,"MISSING")))</f>
        <v>20.696000000000002</v>
      </c>
    </row>
    <row r="1013" spans="1:2">
      <c r="A1013" t="str">
        <f>Prices!A1019</f>
        <v>40291-15</v>
      </c>
      <c r="B1013" s="470">
        <f>IF('Flow Indicator Parts List'!$D$2="CDN$",_xlfn.XLOOKUP(A1013,Prices!A:A,Prices!D:D),IF('Flow Indicator Parts List'!$D$2="US$",_xlfn.XLOOKUP(CurrencyModifier!A1013,Prices!A:A,Prices!E:E,"MISSING")))</f>
        <v>20.696000000000002</v>
      </c>
    </row>
    <row r="1014" spans="1:2">
      <c r="A1014" t="str">
        <f>Prices!A1020</f>
        <v>40291-20</v>
      </c>
      <c r="B1014" s="470">
        <f>IF('Flow Indicator Parts List'!$D$2="CDN$",_xlfn.XLOOKUP(A1014,Prices!A:A,Prices!D:D),IF('Flow Indicator Parts List'!$D$2="US$",_xlfn.XLOOKUP(CurrencyModifier!A1014,Prices!A:A,Prices!E:E,"MISSING")))</f>
        <v>20.696000000000002</v>
      </c>
    </row>
    <row r="1015" spans="1:2">
      <c r="A1015" t="str">
        <f>Prices!A1021</f>
        <v>40292-025</v>
      </c>
      <c r="B1015" s="470">
        <f>IF('Flow Indicator Parts List'!$D$2="CDN$",_xlfn.XLOOKUP(A1015,Prices!A:A,Prices!D:D),IF('Flow Indicator Parts List'!$D$2="US$",_xlfn.XLOOKUP(CurrencyModifier!A1015,Prices!A:A,Prices!E:E,"MISSING")))</f>
        <v>32.746000000000002</v>
      </c>
    </row>
    <row r="1016" spans="1:2">
      <c r="A1016" t="str">
        <f>Prices!A1022</f>
        <v>40292-03</v>
      </c>
      <c r="B1016" s="470">
        <f>IF('Flow Indicator Parts List'!$D$2="CDN$",_xlfn.XLOOKUP(A1016,Prices!A:A,Prices!D:D),IF('Flow Indicator Parts List'!$D$2="US$",_xlfn.XLOOKUP(CurrencyModifier!A1016,Prices!A:A,Prices!E:E,"MISSING")))</f>
        <v>32.746000000000002</v>
      </c>
    </row>
    <row r="1017" spans="1:2">
      <c r="A1017" t="str">
        <f>Prices!A1023</f>
        <v>40292-04</v>
      </c>
      <c r="B1017" s="470">
        <f>IF('Flow Indicator Parts List'!$D$2="CDN$",_xlfn.XLOOKUP(A1017,Prices!A:A,Prices!D:D),IF('Flow Indicator Parts List'!$D$2="US$",_xlfn.XLOOKUP(CurrencyModifier!A1017,Prices!A:A,Prices!E:E,"MISSING")))</f>
        <v>32.746000000000002</v>
      </c>
    </row>
    <row r="1018" spans="1:2">
      <c r="A1018" t="str">
        <f>Prices!A1024</f>
        <v>40292-05</v>
      </c>
      <c r="B1018" s="470">
        <f>IF('Flow Indicator Parts List'!$D$2="CDN$",_xlfn.XLOOKUP(A1018,Prices!A:A,Prices!D:D),IF('Flow Indicator Parts List'!$D$2="US$",_xlfn.XLOOKUP(CurrencyModifier!A1018,Prices!A:A,Prices!E:E,"MISSING")))</f>
        <v>32.746000000000002</v>
      </c>
    </row>
    <row r="1019" spans="1:2">
      <c r="A1019" t="str">
        <f>Prices!A1025</f>
        <v>40292-06</v>
      </c>
      <c r="B1019" s="470">
        <f>IF('Flow Indicator Parts List'!$D$2="CDN$",_xlfn.XLOOKUP(A1019,Prices!A:A,Prices!D:D),IF('Flow Indicator Parts List'!$D$2="US$",_xlfn.XLOOKUP(CurrencyModifier!A1019,Prices!A:A,Prices!E:E,"MISSING")))</f>
        <v>32.746000000000002</v>
      </c>
    </row>
    <row r="1020" spans="1:2">
      <c r="A1020" t="str">
        <f>Prices!A1026</f>
        <v>40292-08</v>
      </c>
      <c r="B1020" s="470">
        <f>IF('Flow Indicator Parts List'!$D$2="CDN$",_xlfn.XLOOKUP(A1020,Prices!A:A,Prices!D:D),IF('Flow Indicator Parts List'!$D$2="US$",_xlfn.XLOOKUP(CurrencyModifier!A1020,Prices!A:A,Prices!E:E,"MISSING")))</f>
        <v>32.746000000000002</v>
      </c>
    </row>
    <row r="1021" spans="1:2">
      <c r="A1021" t="str">
        <f>Prices!A1027</f>
        <v>40292-10</v>
      </c>
      <c r="B1021" s="470">
        <f>IF('Flow Indicator Parts List'!$D$2="CDN$",_xlfn.XLOOKUP(A1021,Prices!A:A,Prices!D:D),IF('Flow Indicator Parts List'!$D$2="US$",_xlfn.XLOOKUP(CurrencyModifier!A1021,Prices!A:A,Prices!E:E,"MISSING")))</f>
        <v>32.746000000000002</v>
      </c>
    </row>
    <row r="1022" spans="1:2">
      <c r="A1022" t="str">
        <f>Prices!A1028</f>
        <v>40292-21</v>
      </c>
      <c r="B1022" s="470">
        <f>IF('Flow Indicator Parts List'!$D$2="CDN$",_xlfn.XLOOKUP(A1022,Prices!A:A,Prices!D:D),IF('Flow Indicator Parts List'!$D$2="US$",_xlfn.XLOOKUP(CurrencyModifier!A1022,Prices!A:A,Prices!E:E,"MISSING")))</f>
        <v>13.746</v>
      </c>
    </row>
    <row r="1023" spans="1:2">
      <c r="A1023" t="str">
        <f>Prices!A1029</f>
        <v>40292-22</v>
      </c>
      <c r="B1023" s="470">
        <f>IF('Flow Indicator Parts List'!$D$2="CDN$",_xlfn.XLOOKUP(A1023,Prices!A:A,Prices!D:D),IF('Flow Indicator Parts List'!$D$2="US$",_xlfn.XLOOKUP(CurrencyModifier!A1023,Prices!A:A,Prices!E:E,"MISSING")))</f>
        <v>13.746</v>
      </c>
    </row>
    <row r="1024" spans="1:2">
      <c r="A1024" t="str">
        <f>Prices!A1030</f>
        <v>40292-24</v>
      </c>
      <c r="B1024" s="470">
        <f>IF('Flow Indicator Parts List'!$D$2="CDN$",_xlfn.XLOOKUP(A1024,Prices!A:A,Prices!D:D),IF('Flow Indicator Parts List'!$D$2="US$",_xlfn.XLOOKUP(CurrencyModifier!A1024,Prices!A:A,Prices!E:E,"MISSING")))</f>
        <v>13.746</v>
      </c>
    </row>
    <row r="1025" spans="1:2">
      <c r="A1025" t="str">
        <f>Prices!A1031</f>
        <v>40292-25</v>
      </c>
      <c r="B1025" s="470">
        <f>IF('Flow Indicator Parts List'!$D$2="CDN$",_xlfn.XLOOKUP(A1025,Prices!A:A,Prices!D:D),IF('Flow Indicator Parts List'!$D$2="US$",_xlfn.XLOOKUP(CurrencyModifier!A1025,Prices!A:A,Prices!E:E,"MISSING")))</f>
        <v>13.746</v>
      </c>
    </row>
    <row r="1026" spans="1:2">
      <c r="A1026" t="str">
        <f>Prices!A1032</f>
        <v>40292-26</v>
      </c>
      <c r="B1026" s="470">
        <f>IF('Flow Indicator Parts List'!$D$2="CDN$",_xlfn.XLOOKUP(A1026,Prices!A:A,Prices!D:D),IF('Flow Indicator Parts List'!$D$2="US$",_xlfn.XLOOKUP(CurrencyModifier!A1026,Prices!A:A,Prices!E:E,"MISSING")))</f>
        <v>13.746</v>
      </c>
    </row>
    <row r="1027" spans="1:2">
      <c r="A1027" t="str">
        <f>Prices!A1033</f>
        <v>40292-28</v>
      </c>
      <c r="B1027" s="470">
        <f>IF('Flow Indicator Parts List'!$D$2="CDN$",_xlfn.XLOOKUP(A1027,Prices!A:A,Prices!D:D),IF('Flow Indicator Parts List'!$D$2="US$",_xlfn.XLOOKUP(CurrencyModifier!A1027,Prices!A:A,Prices!E:E,"MISSING")))</f>
        <v>13.746</v>
      </c>
    </row>
    <row r="1028" spans="1:2">
      <c r="A1028" t="str">
        <f>Prices!A1034</f>
        <v>40292-30</v>
      </c>
      <c r="B1028" s="470">
        <f>IF('Flow Indicator Parts List'!$D$2="CDN$",_xlfn.XLOOKUP(A1028,Prices!A:A,Prices!D:D),IF('Flow Indicator Parts List'!$D$2="US$",_xlfn.XLOOKUP(CurrencyModifier!A1028,Prices!A:A,Prices!E:E,"MISSING")))</f>
        <v>13.746</v>
      </c>
    </row>
    <row r="1029" spans="1:2">
      <c r="A1029" t="str">
        <f>Prices!A1035</f>
        <v>40292-M05</v>
      </c>
      <c r="B1029" s="470">
        <f>IF('Flow Indicator Parts List'!$D$2="CDN$",_xlfn.XLOOKUP(A1029,Prices!A:A,Prices!D:D),IF('Flow Indicator Parts List'!$D$2="US$",_xlfn.XLOOKUP(CurrencyModifier!A1029,Prices!A:A,Prices!E:E,"MISSING")))</f>
        <v>36.710999999999999</v>
      </c>
    </row>
    <row r="1030" spans="1:2">
      <c r="A1030" t="str">
        <f>Prices!A1036</f>
        <v>40292-M06</v>
      </c>
      <c r="B1030" s="470">
        <f>IF('Flow Indicator Parts List'!$D$2="CDN$",_xlfn.XLOOKUP(A1030,Prices!A:A,Prices!D:D),IF('Flow Indicator Parts List'!$D$2="US$",_xlfn.XLOOKUP(CurrencyModifier!A1030,Prices!A:A,Prices!E:E,"MISSING")))</f>
        <v>36.710999999999999</v>
      </c>
    </row>
    <row r="1031" spans="1:2">
      <c r="A1031" t="str">
        <f>Prices!A1037</f>
        <v>40292-M08</v>
      </c>
      <c r="B1031" s="470">
        <f>IF('Flow Indicator Parts List'!$D$2="CDN$",_xlfn.XLOOKUP(A1031,Prices!A:A,Prices!D:D),IF('Flow Indicator Parts List'!$D$2="US$",_xlfn.XLOOKUP(CurrencyModifier!A1031,Prices!A:A,Prices!E:E,"MISSING")))</f>
        <v>36.710999999999999</v>
      </c>
    </row>
    <row r="1032" spans="1:2">
      <c r="A1032" t="str">
        <f>Prices!A1038</f>
        <v>40292-M10</v>
      </c>
      <c r="B1032" s="470">
        <f>IF('Flow Indicator Parts List'!$D$2="CDN$",_xlfn.XLOOKUP(A1032,Prices!A:A,Prices!D:D),IF('Flow Indicator Parts List'!$D$2="US$",_xlfn.XLOOKUP(CurrencyModifier!A1032,Prices!A:A,Prices!E:E,"MISSING")))</f>
        <v>36.710999999999999</v>
      </c>
    </row>
    <row r="1033" spans="1:2">
      <c r="A1033" t="str">
        <f>Prices!A1039</f>
        <v>40293-00</v>
      </c>
      <c r="B1033" s="470">
        <f>IF('Flow Indicator Parts List'!$D$2="CDN$",_xlfn.XLOOKUP(A1033,Prices!A:A,Prices!D:D),IF('Flow Indicator Parts List'!$D$2="US$",_xlfn.XLOOKUP(CurrencyModifier!A1033,Prices!A:A,Prices!E:E,"MISSING")))</f>
        <v>31.141999999999999</v>
      </c>
    </row>
    <row r="1034" spans="1:2">
      <c r="A1034" t="str">
        <f>Prices!A1040</f>
        <v>40294-00</v>
      </c>
      <c r="B1034" s="470">
        <f>IF('Flow Indicator Parts List'!$D$2="CDN$",_xlfn.XLOOKUP(A1034,Prices!A:A,Prices!D:D),IF('Flow Indicator Parts List'!$D$2="US$",_xlfn.XLOOKUP(CurrencyModifier!A1034,Prices!A:A,Prices!E:E,"MISSING")))</f>
        <v>31.334</v>
      </c>
    </row>
    <row r="1035" spans="1:2">
      <c r="A1035" t="str">
        <f>Prices!A1041</f>
        <v>40295-29</v>
      </c>
      <c r="B1035" s="470">
        <f>IF('Flow Indicator Parts List'!$D$2="CDN$",_xlfn.XLOOKUP(A1035,Prices!A:A,Prices!D:D),IF('Flow Indicator Parts List'!$D$2="US$",_xlfn.XLOOKUP(CurrencyModifier!A1035,Prices!A:A,Prices!E:E,"MISSING")))</f>
        <v>1.7390000000000001</v>
      </c>
    </row>
    <row r="1036" spans="1:2">
      <c r="A1036" t="str">
        <f>Prices!A1042</f>
        <v>40295-V3</v>
      </c>
      <c r="B1036" s="470">
        <f>IF('Flow Indicator Parts List'!$D$2="CDN$",_xlfn.XLOOKUP(A1036,Prices!A:A,Prices!D:D),IF('Flow Indicator Parts List'!$D$2="US$",_xlfn.XLOOKUP(CurrencyModifier!A1036,Prices!A:A,Prices!E:E,"MISSING")))</f>
        <v>20.972000000000001</v>
      </c>
    </row>
    <row r="1037" spans="1:2">
      <c r="A1037" t="str">
        <f>Prices!A1043</f>
        <v>40301-00</v>
      </c>
      <c r="B1037" s="470">
        <f>IF('Flow Indicator Parts List'!$D$2="CDN$",_xlfn.XLOOKUP(A1037,Prices!A:A,Prices!D:D),IF('Flow Indicator Parts List'!$D$2="US$",_xlfn.XLOOKUP(CurrencyModifier!A1037,Prices!A:A,Prices!E:E,"MISSING")))</f>
        <v>2.544</v>
      </c>
    </row>
    <row r="1038" spans="1:2">
      <c r="A1038" t="str">
        <f>Prices!A1044</f>
        <v>40302-00</v>
      </c>
      <c r="B1038" s="470">
        <f>IF('Flow Indicator Parts List'!$D$2="CDN$",_xlfn.XLOOKUP(A1038,Prices!A:A,Prices!D:D),IF('Flow Indicator Parts List'!$D$2="US$",_xlfn.XLOOKUP(CurrencyModifier!A1038,Prices!A:A,Prices!E:E,"MISSING")))</f>
        <v>2.544</v>
      </c>
    </row>
    <row r="1039" spans="1:2">
      <c r="A1039" t="str">
        <f>Prices!A1045</f>
        <v>40306-00</v>
      </c>
      <c r="B1039" s="470">
        <f>IF('Flow Indicator Parts List'!$D$2="CDN$",_xlfn.XLOOKUP(A1039,Prices!A:A,Prices!D:D),IF('Flow Indicator Parts List'!$D$2="US$",_xlfn.XLOOKUP(CurrencyModifier!A1039,Prices!A:A,Prices!E:E,"MISSING")))</f>
        <v>2.544</v>
      </c>
    </row>
    <row r="1040" spans="1:2">
      <c r="A1040" t="str">
        <f>Prices!A1046</f>
        <v>40307-00</v>
      </c>
      <c r="B1040" s="470">
        <f>IF('Flow Indicator Parts List'!$D$2="CDN$",_xlfn.XLOOKUP(A1040,Prices!A:A,Prices!D:D),IF('Flow Indicator Parts List'!$D$2="US$",_xlfn.XLOOKUP(CurrencyModifier!A1040,Prices!A:A,Prices!E:E,"MISSING")))</f>
        <v>2.544</v>
      </c>
    </row>
    <row r="1041" spans="1:2">
      <c r="A1041" t="str">
        <f>Prices!A1047</f>
        <v>40311-00</v>
      </c>
      <c r="B1041" s="470">
        <f>IF('Flow Indicator Parts List'!$D$2="CDN$",_xlfn.XLOOKUP(A1041,Prices!A:A,Prices!D:D),IF('Flow Indicator Parts List'!$D$2="US$",_xlfn.XLOOKUP(CurrencyModifier!A1041,Prices!A:A,Prices!E:E,"MISSING")))</f>
        <v>2.544</v>
      </c>
    </row>
    <row r="1042" spans="1:2">
      <c r="A1042" t="str">
        <f>Prices!A1048</f>
        <v>40312-00</v>
      </c>
      <c r="B1042" s="470">
        <f>IF('Flow Indicator Parts List'!$D$2="CDN$",_xlfn.XLOOKUP(A1042,Prices!A:A,Prices!D:D),IF('Flow Indicator Parts List'!$D$2="US$",_xlfn.XLOOKUP(CurrencyModifier!A1042,Prices!A:A,Prices!E:E,"MISSING")))</f>
        <v>2.544</v>
      </c>
    </row>
    <row r="1043" spans="1:2">
      <c r="A1043" t="str">
        <f>Prices!A1049</f>
        <v>40313-00</v>
      </c>
      <c r="B1043" s="470">
        <f>IF('Flow Indicator Parts List'!$D$2="CDN$",_xlfn.XLOOKUP(A1043,Prices!A:A,Prices!D:D),IF('Flow Indicator Parts List'!$D$2="US$",_xlfn.XLOOKUP(CurrencyModifier!A1043,Prices!A:A,Prices!E:E,"MISSING")))</f>
        <v>3.4340000000000002</v>
      </c>
    </row>
    <row r="1044" spans="1:2">
      <c r="A1044" t="str">
        <f>Prices!A1050</f>
        <v>40320-00</v>
      </c>
      <c r="B1044" s="470">
        <f>IF('Flow Indicator Parts List'!$D$2="CDN$",_xlfn.XLOOKUP(A1044,Prices!A:A,Prices!D:D),IF('Flow Indicator Parts List'!$D$2="US$",_xlfn.XLOOKUP(CurrencyModifier!A1044,Prices!A:A,Prices!E:E,"MISSING")))</f>
        <v>7.423</v>
      </c>
    </row>
    <row r="1045" spans="1:2">
      <c r="A1045" t="str">
        <f>Prices!A1051</f>
        <v>40320-01</v>
      </c>
      <c r="B1045" s="470">
        <f>IF('Flow Indicator Parts List'!$D$2="CDN$",_xlfn.XLOOKUP(A1045,Prices!A:A,Prices!D:D),IF('Flow Indicator Parts List'!$D$2="US$",_xlfn.XLOOKUP(CurrencyModifier!A1045,Prices!A:A,Prices!E:E,"MISSING")))</f>
        <v>3.7130000000000001</v>
      </c>
    </row>
    <row r="1046" spans="1:2">
      <c r="A1046" t="str">
        <f>Prices!A1052</f>
        <v>40320-02</v>
      </c>
      <c r="B1046" s="470">
        <f>IF('Flow Indicator Parts List'!$D$2="CDN$",_xlfn.XLOOKUP(A1046,Prices!A:A,Prices!D:D),IF('Flow Indicator Parts List'!$D$2="US$",_xlfn.XLOOKUP(CurrencyModifier!A1046,Prices!A:A,Prices!E:E,"MISSING")))</f>
        <v>3.004</v>
      </c>
    </row>
    <row r="1047" spans="1:2">
      <c r="A1047" t="str">
        <f>Prices!A1053</f>
        <v>40320-03</v>
      </c>
      <c r="B1047" s="470">
        <f>IF('Flow Indicator Parts List'!$D$2="CDN$",_xlfn.XLOOKUP(A1047,Prices!A:A,Prices!D:D),IF('Flow Indicator Parts List'!$D$2="US$",_xlfn.XLOOKUP(CurrencyModifier!A1047,Prices!A:A,Prices!E:E,"MISSING")))</f>
        <v>0.50600000000000001</v>
      </c>
    </row>
    <row r="1048" spans="1:2">
      <c r="A1048" t="str">
        <f>Prices!A1054</f>
        <v>40320-04</v>
      </c>
      <c r="B1048" s="470">
        <f>IF('Flow Indicator Parts List'!$D$2="CDN$",_xlfn.XLOOKUP(A1048,Prices!A:A,Prices!D:D),IF('Flow Indicator Parts List'!$D$2="US$",_xlfn.XLOOKUP(CurrencyModifier!A1048,Prices!A:A,Prices!E:E,"MISSING")))</f>
        <v>14.391</v>
      </c>
    </row>
    <row r="1049" spans="1:2">
      <c r="A1049" t="str">
        <f>Prices!A1055</f>
        <v>40320-05</v>
      </c>
      <c r="B1049" s="470">
        <f>IF('Flow Indicator Parts List'!$D$2="CDN$",_xlfn.XLOOKUP(A1049,Prices!A:A,Prices!D:D),IF('Flow Indicator Parts List'!$D$2="US$",_xlfn.XLOOKUP(CurrencyModifier!A1049,Prices!A:A,Prices!E:E,"MISSING")))</f>
        <v>12.435</v>
      </c>
    </row>
    <row r="1050" spans="1:2">
      <c r="A1050" t="str">
        <f>Prices!A1056</f>
        <v>40320-SS</v>
      </c>
      <c r="B1050" s="470">
        <f>IF('Flow Indicator Parts List'!$D$2="CDN$",_xlfn.XLOOKUP(A1050,Prices!A:A,Prices!D:D),IF('Flow Indicator Parts List'!$D$2="US$",_xlfn.XLOOKUP(CurrencyModifier!A1050,Prices!A:A,Prices!E:E,"MISSING")))</f>
        <v>22.734999999999999</v>
      </c>
    </row>
    <row r="1051" spans="1:2">
      <c r="A1051" t="str">
        <f>Prices!A1057</f>
        <v>40321-00</v>
      </c>
      <c r="B1051" s="470">
        <f>IF('Flow Indicator Parts List'!$D$2="CDN$",_xlfn.XLOOKUP(A1051,Prices!A:A,Prices!D:D),IF('Flow Indicator Parts List'!$D$2="US$",_xlfn.XLOOKUP(CurrencyModifier!A1051,Prices!A:A,Prices!E:E,"MISSING")))</f>
        <v>7.423</v>
      </c>
    </row>
    <row r="1052" spans="1:2">
      <c r="A1052" t="str">
        <f>Prices!A1058</f>
        <v>40321-01</v>
      </c>
      <c r="B1052" s="470">
        <f>IF('Flow Indicator Parts List'!$D$2="CDN$",_xlfn.XLOOKUP(A1052,Prices!A:A,Prices!D:D),IF('Flow Indicator Parts List'!$D$2="US$",_xlfn.XLOOKUP(CurrencyModifier!A1052,Prices!A:A,Prices!E:E,"MISSING")))</f>
        <v>3.7130000000000001</v>
      </c>
    </row>
    <row r="1053" spans="1:2">
      <c r="A1053" t="str">
        <f>Prices!A1059</f>
        <v>40321-02</v>
      </c>
      <c r="B1053" s="470">
        <f>IF('Flow Indicator Parts List'!$D$2="CDN$",_xlfn.XLOOKUP(A1053,Prices!A:A,Prices!D:D),IF('Flow Indicator Parts List'!$D$2="US$",_xlfn.XLOOKUP(CurrencyModifier!A1053,Prices!A:A,Prices!E:E,"MISSING")))</f>
        <v>3.004</v>
      </c>
    </row>
    <row r="1054" spans="1:2">
      <c r="A1054" t="str">
        <f>Prices!A1060</f>
        <v>40321-04</v>
      </c>
      <c r="B1054" s="470">
        <f>IF('Flow Indicator Parts List'!$D$2="CDN$",_xlfn.XLOOKUP(A1054,Prices!A:A,Prices!D:D),IF('Flow Indicator Parts List'!$D$2="US$",_xlfn.XLOOKUP(CurrencyModifier!A1054,Prices!A:A,Prices!E:E,"MISSING")))</f>
        <v>14.391</v>
      </c>
    </row>
    <row r="1055" spans="1:2">
      <c r="A1055" t="str">
        <f>Prices!A1061</f>
        <v>40321-05</v>
      </c>
      <c r="B1055" s="470">
        <f>IF('Flow Indicator Parts List'!$D$2="CDN$",_xlfn.XLOOKUP(A1055,Prices!A:A,Prices!D:D),IF('Flow Indicator Parts List'!$D$2="US$",_xlfn.XLOOKUP(CurrencyModifier!A1055,Prices!A:A,Prices!E:E,"MISSING")))</f>
        <v>12.435</v>
      </c>
    </row>
    <row r="1056" spans="1:2">
      <c r="A1056" t="str">
        <f>Prices!A1062</f>
        <v>40321-SS</v>
      </c>
      <c r="B1056" s="470">
        <f>IF('Flow Indicator Parts List'!$D$2="CDN$",_xlfn.XLOOKUP(A1056,Prices!A:A,Prices!D:D),IF('Flow Indicator Parts List'!$D$2="US$",_xlfn.XLOOKUP(CurrencyModifier!A1056,Prices!A:A,Prices!E:E,"MISSING")))</f>
        <v>22.734999999999999</v>
      </c>
    </row>
    <row r="1057" spans="1:2">
      <c r="A1057" t="str">
        <f>Prices!A1063</f>
        <v>40322-00</v>
      </c>
      <c r="B1057" s="470">
        <f>IF('Flow Indicator Parts List'!$D$2="CDN$",_xlfn.XLOOKUP(A1057,Prices!A:A,Prices!D:D),IF('Flow Indicator Parts List'!$D$2="US$",_xlfn.XLOOKUP(CurrencyModifier!A1057,Prices!A:A,Prices!E:E,"MISSING")))</f>
        <v>7.423</v>
      </c>
    </row>
    <row r="1058" spans="1:2">
      <c r="A1058" t="str">
        <f>Prices!A1064</f>
        <v>40322-01</v>
      </c>
      <c r="B1058" s="470">
        <f>IF('Flow Indicator Parts List'!$D$2="CDN$",_xlfn.XLOOKUP(A1058,Prices!A:A,Prices!D:D),IF('Flow Indicator Parts List'!$D$2="US$",_xlfn.XLOOKUP(CurrencyModifier!A1058,Prices!A:A,Prices!E:E,"MISSING")))</f>
        <v>3.7130000000000001</v>
      </c>
    </row>
    <row r="1059" spans="1:2">
      <c r="A1059" t="str">
        <f>Prices!A1065</f>
        <v>40322-02</v>
      </c>
      <c r="B1059" s="470">
        <f>IF('Flow Indicator Parts List'!$D$2="CDN$",_xlfn.XLOOKUP(A1059,Prices!A:A,Prices!D:D),IF('Flow Indicator Parts List'!$D$2="US$",_xlfn.XLOOKUP(CurrencyModifier!A1059,Prices!A:A,Prices!E:E,"MISSING")))</f>
        <v>3.004</v>
      </c>
    </row>
    <row r="1060" spans="1:2">
      <c r="A1060" t="str">
        <f>Prices!A1066</f>
        <v>40322-04</v>
      </c>
      <c r="B1060" s="470">
        <f>IF('Flow Indicator Parts List'!$D$2="CDN$",_xlfn.XLOOKUP(A1060,Prices!A:A,Prices!D:D),IF('Flow Indicator Parts List'!$D$2="US$",_xlfn.XLOOKUP(CurrencyModifier!A1060,Prices!A:A,Prices!E:E,"MISSING")))</f>
        <v>14.391</v>
      </c>
    </row>
    <row r="1061" spans="1:2">
      <c r="A1061" t="str">
        <f>Prices!A1067</f>
        <v>40322-05</v>
      </c>
      <c r="B1061" s="470">
        <f>IF('Flow Indicator Parts List'!$D$2="CDN$",_xlfn.XLOOKUP(A1061,Prices!A:A,Prices!D:D),IF('Flow Indicator Parts List'!$D$2="US$",_xlfn.XLOOKUP(CurrencyModifier!A1061,Prices!A:A,Prices!E:E,"MISSING")))</f>
        <v>12.435</v>
      </c>
    </row>
    <row r="1062" spans="1:2">
      <c r="A1062" t="str">
        <f>Prices!A1068</f>
        <v>40322-SS</v>
      </c>
      <c r="B1062" s="470">
        <f>IF('Flow Indicator Parts List'!$D$2="CDN$",_xlfn.XLOOKUP(A1062,Prices!A:A,Prices!D:D),IF('Flow Indicator Parts List'!$D$2="US$",_xlfn.XLOOKUP(CurrencyModifier!A1062,Prices!A:A,Prices!E:E,"MISSING")))</f>
        <v>22.734999999999999</v>
      </c>
    </row>
    <row r="1063" spans="1:2">
      <c r="A1063" t="str">
        <f>Prices!A1069</f>
        <v>40325-00</v>
      </c>
      <c r="B1063" s="470">
        <f>IF('Flow Indicator Parts List'!$D$2="CDN$",_xlfn.XLOOKUP(A1063,Prices!A:A,Prices!D:D),IF('Flow Indicator Parts List'!$D$2="US$",_xlfn.XLOOKUP(CurrencyModifier!A1063,Prices!A:A,Prices!E:E,"MISSING")))</f>
        <v>7.423</v>
      </c>
    </row>
    <row r="1064" spans="1:2">
      <c r="A1064" t="str">
        <f>Prices!A1070</f>
        <v>40325-01</v>
      </c>
      <c r="B1064" s="470">
        <f>IF('Flow Indicator Parts List'!$D$2="CDN$",_xlfn.XLOOKUP(A1064,Prices!A:A,Prices!D:D),IF('Flow Indicator Parts List'!$D$2="US$",_xlfn.XLOOKUP(CurrencyModifier!A1064,Prices!A:A,Prices!E:E,"MISSING")))</f>
        <v>3.7130000000000001</v>
      </c>
    </row>
    <row r="1065" spans="1:2">
      <c r="A1065" t="str">
        <f>Prices!A1071</f>
        <v>40325-02</v>
      </c>
      <c r="B1065" s="470">
        <f>IF('Flow Indicator Parts List'!$D$2="CDN$",_xlfn.XLOOKUP(A1065,Prices!A:A,Prices!D:D),IF('Flow Indicator Parts List'!$D$2="US$",_xlfn.XLOOKUP(CurrencyModifier!A1065,Prices!A:A,Prices!E:E,"MISSING")))</f>
        <v>3.004</v>
      </c>
    </row>
    <row r="1066" spans="1:2">
      <c r="A1066" t="str">
        <f>Prices!A1072</f>
        <v>40325-04</v>
      </c>
      <c r="B1066" s="470">
        <f>IF('Flow Indicator Parts List'!$D$2="CDN$",_xlfn.XLOOKUP(A1066,Prices!A:A,Prices!D:D),IF('Flow Indicator Parts List'!$D$2="US$",_xlfn.XLOOKUP(CurrencyModifier!A1066,Prices!A:A,Prices!E:E,"MISSING")))</f>
        <v>14.391</v>
      </c>
    </row>
    <row r="1067" spans="1:2">
      <c r="A1067" t="str">
        <f>Prices!A1073</f>
        <v>40325-05</v>
      </c>
      <c r="B1067" s="470">
        <f>IF('Flow Indicator Parts List'!$D$2="CDN$",_xlfn.XLOOKUP(A1067,Prices!A:A,Prices!D:D),IF('Flow Indicator Parts List'!$D$2="US$",_xlfn.XLOOKUP(CurrencyModifier!A1067,Prices!A:A,Prices!E:E,"MISSING")))</f>
        <v>12.435</v>
      </c>
    </row>
    <row r="1068" spans="1:2">
      <c r="A1068" t="str">
        <f>Prices!A1074</f>
        <v>40325-SS</v>
      </c>
      <c r="B1068" s="470">
        <f>IF('Flow Indicator Parts List'!$D$2="CDN$",_xlfn.XLOOKUP(A1068,Prices!A:A,Prices!D:D),IF('Flow Indicator Parts List'!$D$2="US$",_xlfn.XLOOKUP(CurrencyModifier!A1068,Prices!A:A,Prices!E:E,"MISSING")))</f>
        <v>22.734999999999999</v>
      </c>
    </row>
    <row r="1069" spans="1:2">
      <c r="A1069" t="str">
        <f>Prices!A1075</f>
        <v>40326-00</v>
      </c>
      <c r="B1069" s="470">
        <f>IF('Flow Indicator Parts List'!$D$2="CDN$",_xlfn.XLOOKUP(A1069,Prices!A:A,Prices!D:D),IF('Flow Indicator Parts List'!$D$2="US$",_xlfn.XLOOKUP(CurrencyModifier!A1069,Prices!A:A,Prices!E:E,"MISSING")))</f>
        <v>7.423</v>
      </c>
    </row>
    <row r="1070" spans="1:2">
      <c r="A1070" t="str">
        <f>Prices!A1076</f>
        <v>40326-01</v>
      </c>
      <c r="B1070" s="470">
        <f>IF('Flow Indicator Parts List'!$D$2="CDN$",_xlfn.XLOOKUP(A1070,Prices!A:A,Prices!D:D),IF('Flow Indicator Parts List'!$D$2="US$",_xlfn.XLOOKUP(CurrencyModifier!A1070,Prices!A:A,Prices!E:E,"MISSING")))</f>
        <v>3.7130000000000001</v>
      </c>
    </row>
    <row r="1071" spans="1:2">
      <c r="A1071" t="str">
        <f>Prices!A1077</f>
        <v>40326-02</v>
      </c>
      <c r="B1071" s="470">
        <f>IF('Flow Indicator Parts List'!$D$2="CDN$",_xlfn.XLOOKUP(A1071,Prices!A:A,Prices!D:D),IF('Flow Indicator Parts List'!$D$2="US$",_xlfn.XLOOKUP(CurrencyModifier!A1071,Prices!A:A,Prices!E:E,"MISSING")))</f>
        <v>3.004</v>
      </c>
    </row>
    <row r="1072" spans="1:2">
      <c r="A1072" t="str">
        <f>Prices!A1078</f>
        <v>40326-04</v>
      </c>
      <c r="B1072" s="470">
        <f>IF('Flow Indicator Parts List'!$D$2="CDN$",_xlfn.XLOOKUP(A1072,Prices!A:A,Prices!D:D),IF('Flow Indicator Parts List'!$D$2="US$",_xlfn.XLOOKUP(CurrencyModifier!A1072,Prices!A:A,Prices!E:E,"MISSING")))</f>
        <v>14.391</v>
      </c>
    </row>
    <row r="1073" spans="1:2">
      <c r="A1073" t="str">
        <f>Prices!A1079</f>
        <v>40326-05</v>
      </c>
      <c r="B1073" s="470">
        <f>IF('Flow Indicator Parts List'!$D$2="CDN$",_xlfn.XLOOKUP(A1073,Prices!A:A,Prices!D:D),IF('Flow Indicator Parts List'!$D$2="US$",_xlfn.XLOOKUP(CurrencyModifier!A1073,Prices!A:A,Prices!E:E,"MISSING")))</f>
        <v>12.435</v>
      </c>
    </row>
    <row r="1074" spans="1:2">
      <c r="A1074" t="str">
        <f>Prices!A1080</f>
        <v>40326-SS</v>
      </c>
      <c r="B1074" s="470">
        <f>IF('Flow Indicator Parts List'!$D$2="CDN$",_xlfn.XLOOKUP(A1074,Prices!A:A,Prices!D:D),IF('Flow Indicator Parts List'!$D$2="US$",_xlfn.XLOOKUP(CurrencyModifier!A1074,Prices!A:A,Prices!E:E,"MISSING")))</f>
        <v>22.734999999999999</v>
      </c>
    </row>
    <row r="1075" spans="1:2">
      <c r="A1075" t="str">
        <f>Prices!A1081</f>
        <v>40327-00</v>
      </c>
      <c r="B1075" s="470">
        <f>IF('Flow Indicator Parts List'!$D$2="CDN$",_xlfn.XLOOKUP(A1075,Prices!A:A,Prices!D:D),IF('Flow Indicator Parts List'!$D$2="US$",_xlfn.XLOOKUP(CurrencyModifier!A1075,Prices!A:A,Prices!E:E,"MISSING")))</f>
        <v>7.423</v>
      </c>
    </row>
    <row r="1076" spans="1:2">
      <c r="A1076" t="str">
        <f>Prices!A1082</f>
        <v>40327-01</v>
      </c>
      <c r="B1076" s="470">
        <f>IF('Flow Indicator Parts List'!$D$2="CDN$",_xlfn.XLOOKUP(A1076,Prices!A:A,Prices!D:D),IF('Flow Indicator Parts List'!$D$2="US$",_xlfn.XLOOKUP(CurrencyModifier!A1076,Prices!A:A,Prices!E:E,"MISSING")))</f>
        <v>3.7130000000000001</v>
      </c>
    </row>
    <row r="1077" spans="1:2">
      <c r="A1077" t="str">
        <f>Prices!A1083</f>
        <v>40327-02</v>
      </c>
      <c r="B1077" s="470">
        <f>IF('Flow Indicator Parts List'!$D$2="CDN$",_xlfn.XLOOKUP(A1077,Prices!A:A,Prices!D:D),IF('Flow Indicator Parts List'!$D$2="US$",_xlfn.XLOOKUP(CurrencyModifier!A1077,Prices!A:A,Prices!E:E,"MISSING")))</f>
        <v>3.004</v>
      </c>
    </row>
    <row r="1078" spans="1:2">
      <c r="A1078" t="str">
        <f>Prices!A1084</f>
        <v>40327-04</v>
      </c>
      <c r="B1078" s="470">
        <f>IF('Flow Indicator Parts List'!$D$2="CDN$",_xlfn.XLOOKUP(A1078,Prices!A:A,Prices!D:D),IF('Flow Indicator Parts List'!$D$2="US$",_xlfn.XLOOKUP(CurrencyModifier!A1078,Prices!A:A,Prices!E:E,"MISSING")))</f>
        <v>14.391</v>
      </c>
    </row>
    <row r="1079" spans="1:2">
      <c r="A1079" t="str">
        <f>Prices!A1085</f>
        <v>40327-05</v>
      </c>
      <c r="B1079" s="470">
        <f>IF('Flow Indicator Parts List'!$D$2="CDN$",_xlfn.XLOOKUP(A1079,Prices!A:A,Prices!D:D),IF('Flow Indicator Parts List'!$D$2="US$",_xlfn.XLOOKUP(CurrencyModifier!A1079,Prices!A:A,Prices!E:E,"MISSING")))</f>
        <v>12.435</v>
      </c>
    </row>
    <row r="1080" spans="1:2">
      <c r="A1080" t="str">
        <f>Prices!A1086</f>
        <v>40327-SS</v>
      </c>
      <c r="B1080" s="470">
        <f>IF('Flow Indicator Parts List'!$D$2="CDN$",_xlfn.XLOOKUP(A1080,Prices!A:A,Prices!D:D),IF('Flow Indicator Parts List'!$D$2="US$",_xlfn.XLOOKUP(CurrencyModifier!A1080,Prices!A:A,Prices!E:E,"MISSING")))</f>
        <v>22.734999999999999</v>
      </c>
    </row>
    <row r="1081" spans="1:2">
      <c r="A1081" t="str">
        <f>Prices!A1087</f>
        <v>40328-00</v>
      </c>
      <c r="B1081" s="470">
        <f>IF('Flow Indicator Parts List'!$D$2="CDN$",_xlfn.XLOOKUP(A1081,Prices!A:A,Prices!D:D),IF('Flow Indicator Parts List'!$D$2="US$",_xlfn.XLOOKUP(CurrencyModifier!A1081,Prices!A:A,Prices!E:E,"MISSING")))</f>
        <v>7.423</v>
      </c>
    </row>
    <row r="1082" spans="1:2">
      <c r="A1082" t="str">
        <f>Prices!A1088</f>
        <v>40328-01</v>
      </c>
      <c r="B1082" s="470">
        <f>IF('Flow Indicator Parts List'!$D$2="CDN$",_xlfn.XLOOKUP(A1082,Prices!A:A,Prices!D:D),IF('Flow Indicator Parts List'!$D$2="US$",_xlfn.XLOOKUP(CurrencyModifier!A1082,Prices!A:A,Prices!E:E,"MISSING")))</f>
        <v>3.7130000000000001</v>
      </c>
    </row>
    <row r="1083" spans="1:2">
      <c r="A1083" t="str">
        <f>Prices!A1089</f>
        <v>40328-02</v>
      </c>
      <c r="B1083" s="470">
        <f>IF('Flow Indicator Parts List'!$D$2="CDN$",_xlfn.XLOOKUP(A1083,Prices!A:A,Prices!D:D),IF('Flow Indicator Parts List'!$D$2="US$",_xlfn.XLOOKUP(CurrencyModifier!A1083,Prices!A:A,Prices!E:E,"MISSING")))</f>
        <v>3.004</v>
      </c>
    </row>
    <row r="1084" spans="1:2">
      <c r="A1084" t="str">
        <f>Prices!A1090</f>
        <v>40328-04</v>
      </c>
      <c r="B1084" s="470">
        <f>IF('Flow Indicator Parts List'!$D$2="CDN$",_xlfn.XLOOKUP(A1084,Prices!A:A,Prices!D:D),IF('Flow Indicator Parts List'!$D$2="US$",_xlfn.XLOOKUP(CurrencyModifier!A1084,Prices!A:A,Prices!E:E,"MISSING")))</f>
        <v>14.391</v>
      </c>
    </row>
    <row r="1085" spans="1:2">
      <c r="A1085" t="str">
        <f>Prices!A1091</f>
        <v>40328-05</v>
      </c>
      <c r="B1085" s="470">
        <f>IF('Flow Indicator Parts List'!$D$2="CDN$",_xlfn.XLOOKUP(A1085,Prices!A:A,Prices!D:D),IF('Flow Indicator Parts List'!$D$2="US$",_xlfn.XLOOKUP(CurrencyModifier!A1085,Prices!A:A,Prices!E:E,"MISSING")))</f>
        <v>12.435</v>
      </c>
    </row>
    <row r="1086" spans="1:2">
      <c r="A1086" t="str">
        <f>Prices!A1092</f>
        <v>40328-SS</v>
      </c>
      <c r="B1086" s="470">
        <f>IF('Flow Indicator Parts List'!$D$2="CDN$",_xlfn.XLOOKUP(A1086,Prices!A:A,Prices!D:D),IF('Flow Indicator Parts List'!$D$2="US$",_xlfn.XLOOKUP(CurrencyModifier!A1086,Prices!A:A,Prices!E:E,"MISSING")))</f>
        <v>22.734999999999999</v>
      </c>
    </row>
    <row r="1087" spans="1:2">
      <c r="A1087" t="str">
        <f>Prices!A1093</f>
        <v>40330-00</v>
      </c>
      <c r="B1087" s="470">
        <f>IF('Flow Indicator Parts List'!$D$2="CDN$",_xlfn.XLOOKUP(A1087,Prices!A:A,Prices!D:D),IF('Flow Indicator Parts List'!$D$2="US$",_xlfn.XLOOKUP(CurrencyModifier!A1087,Prices!A:A,Prices!E:E,"MISSING")))</f>
        <v>7.423</v>
      </c>
    </row>
    <row r="1088" spans="1:2">
      <c r="A1088" t="str">
        <f>Prices!A1094</f>
        <v>40330-01</v>
      </c>
      <c r="B1088" s="470">
        <f>IF('Flow Indicator Parts List'!$D$2="CDN$",_xlfn.XLOOKUP(A1088,Prices!A:A,Prices!D:D),IF('Flow Indicator Parts List'!$D$2="US$",_xlfn.XLOOKUP(CurrencyModifier!A1088,Prices!A:A,Prices!E:E,"MISSING")))</f>
        <v>3.7130000000000001</v>
      </c>
    </row>
    <row r="1089" spans="1:2">
      <c r="A1089" t="str">
        <f>Prices!A1095</f>
        <v>40330-02</v>
      </c>
      <c r="B1089" s="470">
        <f>IF('Flow Indicator Parts List'!$D$2="CDN$",_xlfn.XLOOKUP(A1089,Prices!A:A,Prices!D:D),IF('Flow Indicator Parts List'!$D$2="US$",_xlfn.XLOOKUP(CurrencyModifier!A1089,Prices!A:A,Prices!E:E,"MISSING")))</f>
        <v>3.004</v>
      </c>
    </row>
    <row r="1090" spans="1:2">
      <c r="A1090" t="str">
        <f>Prices!A1096</f>
        <v>40330-04</v>
      </c>
      <c r="B1090" s="470">
        <f>IF('Flow Indicator Parts List'!$D$2="CDN$",_xlfn.XLOOKUP(A1090,Prices!A:A,Prices!D:D),IF('Flow Indicator Parts List'!$D$2="US$",_xlfn.XLOOKUP(CurrencyModifier!A1090,Prices!A:A,Prices!E:E,"MISSING")))</f>
        <v>14.391</v>
      </c>
    </row>
    <row r="1091" spans="1:2">
      <c r="A1091" t="str">
        <f>Prices!A1097</f>
        <v>40330-05</v>
      </c>
      <c r="B1091" s="470">
        <f>IF('Flow Indicator Parts List'!$D$2="CDN$",_xlfn.XLOOKUP(A1091,Prices!A:A,Prices!D:D),IF('Flow Indicator Parts List'!$D$2="US$",_xlfn.XLOOKUP(CurrencyModifier!A1091,Prices!A:A,Prices!E:E,"MISSING")))</f>
        <v>12.435</v>
      </c>
    </row>
    <row r="1092" spans="1:2">
      <c r="A1092" t="str">
        <f>Prices!A1098</f>
        <v>40330-SS</v>
      </c>
      <c r="B1092" s="470">
        <f>IF('Flow Indicator Parts List'!$D$2="CDN$",_xlfn.XLOOKUP(A1092,Prices!A:A,Prices!D:D),IF('Flow Indicator Parts List'!$D$2="US$",_xlfn.XLOOKUP(CurrencyModifier!A1092,Prices!A:A,Prices!E:E,"MISSING")))</f>
        <v>22.734999999999999</v>
      </c>
    </row>
    <row r="1093" spans="1:2">
      <c r="A1093" t="str">
        <f>Prices!A1099</f>
        <v>40341-00</v>
      </c>
      <c r="B1093" s="470">
        <f>IF('Flow Indicator Parts List'!$D$2="CDN$",_xlfn.XLOOKUP(A1093,Prices!A:A,Prices!D:D),IF('Flow Indicator Parts List'!$D$2="US$",_xlfn.XLOOKUP(CurrencyModifier!A1093,Prices!A:A,Prices!E:E,"MISSING")))</f>
        <v>11.02</v>
      </c>
    </row>
    <row r="1094" spans="1:2">
      <c r="A1094" t="str">
        <f>Prices!A1100</f>
        <v>40341-01</v>
      </c>
      <c r="B1094" s="470">
        <f>IF('Flow Indicator Parts List'!$D$2="CDN$",_xlfn.XLOOKUP(A1094,Prices!A:A,Prices!D:D),IF('Flow Indicator Parts List'!$D$2="US$",_xlfn.XLOOKUP(CurrencyModifier!A1094,Prices!A:A,Prices!E:E,"MISSING")))</f>
        <v>4.1449999999999996</v>
      </c>
    </row>
    <row r="1095" spans="1:2">
      <c r="A1095" t="str">
        <f>Prices!A1101</f>
        <v>40341-02</v>
      </c>
      <c r="B1095" s="470">
        <f>IF('Flow Indicator Parts List'!$D$2="CDN$",_xlfn.XLOOKUP(A1095,Prices!A:A,Prices!D:D),IF('Flow Indicator Parts List'!$D$2="US$",_xlfn.XLOOKUP(CurrencyModifier!A1095,Prices!A:A,Prices!E:E,"MISSING")))</f>
        <v>3.9860000000000002</v>
      </c>
    </row>
    <row r="1096" spans="1:2">
      <c r="A1096" t="str">
        <f>Prices!A1102</f>
        <v>40341-03</v>
      </c>
      <c r="B1096" s="470">
        <f>IF('Flow Indicator Parts List'!$D$2="CDN$",_xlfn.XLOOKUP(A1096,Prices!A:A,Prices!D:D),IF('Flow Indicator Parts List'!$D$2="US$",_xlfn.XLOOKUP(CurrencyModifier!A1096,Prices!A:A,Prices!E:E,"MISSING")))</f>
        <v>0.624</v>
      </c>
    </row>
    <row r="1097" spans="1:2">
      <c r="A1097" t="str">
        <f>Prices!A1103</f>
        <v>40341-04</v>
      </c>
      <c r="B1097" s="470">
        <f>IF('Flow Indicator Parts List'!$D$2="CDN$",_xlfn.XLOOKUP(A1097,Prices!A:A,Prices!D:D),IF('Flow Indicator Parts List'!$D$2="US$",_xlfn.XLOOKUP(CurrencyModifier!A1097,Prices!A:A,Prices!E:E,"MISSING")))</f>
        <v>1.111</v>
      </c>
    </row>
    <row r="1098" spans="1:2">
      <c r="A1098" t="str">
        <f>Prices!A1104</f>
        <v>40341-05</v>
      </c>
      <c r="B1098" s="470">
        <f>IF('Flow Indicator Parts List'!$D$2="CDN$",_xlfn.XLOOKUP(A1098,Prices!A:A,Prices!D:D),IF('Flow Indicator Parts List'!$D$2="US$",_xlfn.XLOOKUP(CurrencyModifier!A1098,Prices!A:A,Prices!E:E,"MISSING")))</f>
        <v>21.756</v>
      </c>
    </row>
    <row r="1099" spans="1:2">
      <c r="A1099" t="str">
        <f>Prices!A1105</f>
        <v>40341-06</v>
      </c>
      <c r="B1099" s="470">
        <f>IF('Flow Indicator Parts List'!$D$2="CDN$",_xlfn.XLOOKUP(A1099,Prices!A:A,Prices!D:D),IF('Flow Indicator Parts List'!$D$2="US$",_xlfn.XLOOKUP(CurrencyModifier!A1099,Prices!A:A,Prices!E:E,"MISSING")))</f>
        <v>16.55</v>
      </c>
    </row>
    <row r="1100" spans="1:2">
      <c r="A1100" t="str">
        <f>Prices!A1106</f>
        <v>40341-SS</v>
      </c>
      <c r="B1100" s="470">
        <f>IF('Flow Indicator Parts List'!$D$2="CDN$",_xlfn.XLOOKUP(A1100,Prices!A:A,Prices!D:D),IF('Flow Indicator Parts List'!$D$2="US$",_xlfn.XLOOKUP(CurrencyModifier!A1100,Prices!A:A,Prices!E:E,"MISSING")))</f>
        <v>36.603000000000002</v>
      </c>
    </row>
    <row r="1101" spans="1:2">
      <c r="A1101" t="str">
        <f>Prices!A1107</f>
        <v>40342-00</v>
      </c>
      <c r="B1101" s="470">
        <f>IF('Flow Indicator Parts List'!$D$2="CDN$",_xlfn.XLOOKUP(A1101,Prices!A:A,Prices!D:D),IF('Flow Indicator Parts List'!$D$2="US$",_xlfn.XLOOKUP(CurrencyModifier!A1101,Prices!A:A,Prices!E:E,"MISSING")))</f>
        <v>11.02</v>
      </c>
    </row>
    <row r="1102" spans="1:2">
      <c r="A1102" t="str">
        <f>Prices!A1108</f>
        <v>40342-01</v>
      </c>
      <c r="B1102" s="470">
        <f>IF('Flow Indicator Parts List'!$D$2="CDN$",_xlfn.XLOOKUP(A1102,Prices!A:A,Prices!D:D),IF('Flow Indicator Parts List'!$D$2="US$",_xlfn.XLOOKUP(CurrencyModifier!A1102,Prices!A:A,Prices!E:E,"MISSING")))</f>
        <v>4.1449999999999996</v>
      </c>
    </row>
    <row r="1103" spans="1:2">
      <c r="A1103" t="str">
        <f>Prices!A1109</f>
        <v>40342-02</v>
      </c>
      <c r="B1103" s="470">
        <f>IF('Flow Indicator Parts List'!$D$2="CDN$",_xlfn.XLOOKUP(A1103,Prices!A:A,Prices!D:D),IF('Flow Indicator Parts List'!$D$2="US$",_xlfn.XLOOKUP(CurrencyModifier!A1103,Prices!A:A,Prices!E:E,"MISSING")))</f>
        <v>3.9860000000000002</v>
      </c>
    </row>
    <row r="1104" spans="1:2">
      <c r="A1104" t="str">
        <f>Prices!A1110</f>
        <v>40342-05</v>
      </c>
      <c r="B1104" s="470">
        <f>IF('Flow Indicator Parts List'!$D$2="CDN$",_xlfn.XLOOKUP(A1104,Prices!A:A,Prices!D:D),IF('Flow Indicator Parts List'!$D$2="US$",_xlfn.XLOOKUP(CurrencyModifier!A1104,Prices!A:A,Prices!E:E,"MISSING")))</f>
        <v>17.140999999999998</v>
      </c>
    </row>
    <row r="1105" spans="1:2">
      <c r="A1105" t="str">
        <f>Prices!A1111</f>
        <v>40342-06</v>
      </c>
      <c r="B1105" s="470">
        <f>IF('Flow Indicator Parts List'!$D$2="CDN$",_xlfn.XLOOKUP(A1105,Prices!A:A,Prices!D:D),IF('Flow Indicator Parts List'!$D$2="US$",_xlfn.XLOOKUP(CurrencyModifier!A1105,Prices!A:A,Prices!E:E,"MISSING")))</f>
        <v>14.414</v>
      </c>
    </row>
    <row r="1106" spans="1:2">
      <c r="A1106" t="str">
        <f>Prices!A1112</f>
        <v>40342-SS</v>
      </c>
      <c r="B1106" s="470">
        <f>IF('Flow Indicator Parts List'!$D$2="CDN$",_xlfn.XLOOKUP(A1106,Prices!A:A,Prices!D:D),IF('Flow Indicator Parts List'!$D$2="US$",_xlfn.XLOOKUP(CurrencyModifier!A1106,Prices!A:A,Prices!E:E,"MISSING")))</f>
        <v>36.603000000000002</v>
      </c>
    </row>
    <row r="1107" spans="1:2">
      <c r="A1107" t="str">
        <f>Prices!A1113</f>
        <v>40343-00</v>
      </c>
      <c r="B1107" s="470">
        <f>IF('Flow Indicator Parts List'!$D$2="CDN$",_xlfn.XLOOKUP(A1107,Prices!A:A,Prices!D:D),IF('Flow Indicator Parts List'!$D$2="US$",_xlfn.XLOOKUP(CurrencyModifier!A1107,Prices!A:A,Prices!E:E,"MISSING")))</f>
        <v>13.836</v>
      </c>
    </row>
    <row r="1108" spans="1:2">
      <c r="A1108" t="str">
        <f>Prices!A1114</f>
        <v>40343-01</v>
      </c>
      <c r="B1108" s="470">
        <f>IF('Flow Indicator Parts List'!$D$2="CDN$",_xlfn.XLOOKUP(A1108,Prices!A:A,Prices!D:D),IF('Flow Indicator Parts List'!$D$2="US$",_xlfn.XLOOKUP(CurrencyModifier!A1108,Prices!A:A,Prices!E:E,"MISSING")))</f>
        <v>7.5730000000000004</v>
      </c>
    </row>
    <row r="1109" spans="1:2">
      <c r="A1109" t="str">
        <f>Prices!A1115</f>
        <v>40343-02</v>
      </c>
      <c r="B1109" s="470">
        <f>IF('Flow Indicator Parts List'!$D$2="CDN$",_xlfn.XLOOKUP(A1109,Prices!A:A,Prices!D:D),IF('Flow Indicator Parts List'!$D$2="US$",_xlfn.XLOOKUP(CurrencyModifier!A1109,Prices!A:A,Prices!E:E,"MISSING")))</f>
        <v>5.71</v>
      </c>
    </row>
    <row r="1110" spans="1:2">
      <c r="A1110" t="str">
        <f>Prices!A1116</f>
        <v>40343-03</v>
      </c>
      <c r="B1110" s="470">
        <f>IF('Flow Indicator Parts List'!$D$2="CDN$",_xlfn.XLOOKUP(A1110,Prices!A:A,Prices!D:D),IF('Flow Indicator Parts List'!$D$2="US$",_xlfn.XLOOKUP(CurrencyModifier!A1110,Prices!A:A,Prices!E:E,"MISSING")))</f>
        <v>3.492</v>
      </c>
    </row>
    <row r="1111" spans="1:2">
      <c r="A1111" t="str">
        <f>Prices!A1117</f>
        <v>40343-SS</v>
      </c>
      <c r="B1111" s="470">
        <f>IF('Flow Indicator Parts List'!$D$2="CDN$",_xlfn.XLOOKUP(A1111,Prices!A:A,Prices!D:D),IF('Flow Indicator Parts List'!$D$2="US$",_xlfn.XLOOKUP(CurrencyModifier!A1111,Prices!A:A,Prices!E:E,"MISSING")))</f>
        <v>46.765000000000001</v>
      </c>
    </row>
    <row r="1112" spans="1:2">
      <c r="A1112" t="str">
        <f>Prices!A1118</f>
        <v>40352-00</v>
      </c>
      <c r="B1112" s="470">
        <f>IF('Flow Indicator Parts List'!$D$2="CDN$",_xlfn.XLOOKUP(A1112,Prices!A:A,Prices!D:D),IF('Flow Indicator Parts List'!$D$2="US$",_xlfn.XLOOKUP(CurrencyModifier!A1112,Prices!A:A,Prices!E:E,"MISSING")))</f>
        <v>11.558</v>
      </c>
    </row>
    <row r="1113" spans="1:2">
      <c r="A1113" t="str">
        <f>Prices!A1119</f>
        <v>40352-01</v>
      </c>
      <c r="B1113" s="470">
        <f>IF('Flow Indicator Parts List'!$D$2="CDN$",_xlfn.XLOOKUP(A1113,Prices!A:A,Prices!D:D),IF('Flow Indicator Parts List'!$D$2="US$",_xlfn.XLOOKUP(CurrencyModifier!A1113,Prices!A:A,Prices!E:E,"MISSING")))</f>
        <v>7.6509999999999998</v>
      </c>
    </row>
    <row r="1114" spans="1:2">
      <c r="A1114" t="str">
        <f>Prices!A1120</f>
        <v>40352-P4</v>
      </c>
      <c r="B1114" s="470">
        <f>IF('Flow Indicator Parts List'!$D$2="CDN$",_xlfn.XLOOKUP(A1114,Prices!A:A,Prices!D:D),IF('Flow Indicator Parts List'!$D$2="US$",_xlfn.XLOOKUP(CurrencyModifier!A1114,Prices!A:A,Prices!E:E,"MISSING")))</f>
        <v>11.558</v>
      </c>
    </row>
    <row r="1115" spans="1:2">
      <c r="A1115" t="str">
        <f>Prices!A1121</f>
        <v>40353-00</v>
      </c>
      <c r="B1115" s="470">
        <f>IF('Flow Indicator Parts List'!$D$2="CDN$",_xlfn.XLOOKUP(A1115,Prices!A:A,Prices!D:D),IF('Flow Indicator Parts List'!$D$2="US$",_xlfn.XLOOKUP(CurrencyModifier!A1115,Prices!A:A,Prices!E:E,"MISSING")))</f>
        <v>21.495999999999999</v>
      </c>
    </row>
    <row r="1116" spans="1:2">
      <c r="A1116" t="str">
        <f>Prices!A1122</f>
        <v>40353-01</v>
      </c>
      <c r="B1116" s="470">
        <f>IF('Flow Indicator Parts List'!$D$2="CDN$",_xlfn.XLOOKUP(A1116,Prices!A:A,Prices!D:D),IF('Flow Indicator Parts List'!$D$2="US$",_xlfn.XLOOKUP(CurrencyModifier!A1116,Prices!A:A,Prices!E:E,"MISSING")))</f>
        <v>9.9830000000000005</v>
      </c>
    </row>
    <row r="1117" spans="1:2">
      <c r="A1117" t="str">
        <f>Prices!A1123</f>
        <v>40354-00</v>
      </c>
      <c r="B1117" s="470">
        <f>IF('Flow Indicator Parts List'!$D$2="CDN$",_xlfn.XLOOKUP(A1117,Prices!A:A,Prices!D:D),IF('Flow Indicator Parts List'!$D$2="US$",_xlfn.XLOOKUP(CurrencyModifier!A1117,Prices!A:A,Prices!E:E,"MISSING")))</f>
        <v>27.03</v>
      </c>
    </row>
    <row r="1118" spans="1:2">
      <c r="A1118" t="str">
        <f>Prices!A1124</f>
        <v>40354-01</v>
      </c>
      <c r="B1118" s="470">
        <f>IF('Flow Indicator Parts List'!$D$2="CDN$",_xlfn.XLOOKUP(A1118,Prices!A:A,Prices!D:D),IF('Flow Indicator Parts List'!$D$2="US$",_xlfn.XLOOKUP(CurrencyModifier!A1118,Prices!A:A,Prices!E:E,"MISSING")))</f>
        <v>10.945</v>
      </c>
    </row>
    <row r="1119" spans="1:2">
      <c r="A1119" t="str">
        <f>Prices!A1125</f>
        <v>40360-00</v>
      </c>
      <c r="B1119" s="470">
        <f>IF('Flow Indicator Parts List'!$D$2="CDN$",_xlfn.XLOOKUP(A1119,Prices!A:A,Prices!D:D),IF('Flow Indicator Parts List'!$D$2="US$",_xlfn.XLOOKUP(CurrencyModifier!A1119,Prices!A:A,Prices!E:E,"MISSING")))</f>
        <v>10.494</v>
      </c>
    </row>
    <row r="1120" spans="1:2">
      <c r="A1120" t="str">
        <f>Prices!A1126</f>
        <v>40360-01</v>
      </c>
      <c r="B1120" s="470">
        <f>IF('Flow Indicator Parts List'!$D$2="CDN$",_xlfn.XLOOKUP(A1120,Prices!A:A,Prices!D:D),IF('Flow Indicator Parts List'!$D$2="US$",_xlfn.XLOOKUP(CurrencyModifier!A1120,Prices!A:A,Prices!E:E,"MISSING")))</f>
        <v>7.6319999999999997</v>
      </c>
    </row>
    <row r="1121" spans="1:2">
      <c r="A1121" t="str">
        <f>Prices!A1127</f>
        <v>40361-00</v>
      </c>
      <c r="B1121" s="470">
        <f>IF('Flow Indicator Parts List'!$D$2="CDN$",_xlfn.XLOOKUP(A1121,Prices!A:A,Prices!D:D),IF('Flow Indicator Parts List'!$D$2="US$",_xlfn.XLOOKUP(CurrencyModifier!A1121,Prices!A:A,Prices!E:E,"MISSING")))</f>
        <v>10.494</v>
      </c>
    </row>
    <row r="1122" spans="1:2">
      <c r="A1122" t="str">
        <f>Prices!A1128</f>
        <v>40361-01</v>
      </c>
      <c r="B1122" s="470">
        <f>IF('Flow Indicator Parts List'!$D$2="CDN$",_xlfn.XLOOKUP(A1122,Prices!A:A,Prices!D:D),IF('Flow Indicator Parts List'!$D$2="US$",_xlfn.XLOOKUP(CurrencyModifier!A1122,Prices!A:A,Prices!E:E,"MISSING")))</f>
        <v>7.6319999999999997</v>
      </c>
    </row>
    <row r="1123" spans="1:2">
      <c r="A1123" t="str">
        <f>Prices!A1129</f>
        <v>40362-00</v>
      </c>
      <c r="B1123" s="470">
        <f>IF('Flow Indicator Parts List'!$D$2="CDN$",_xlfn.XLOOKUP(A1123,Prices!A:A,Prices!D:D),IF('Flow Indicator Parts List'!$D$2="US$",_xlfn.XLOOKUP(CurrencyModifier!A1123,Prices!A:A,Prices!E:E,"MISSING")))</f>
        <v>10.494</v>
      </c>
    </row>
    <row r="1124" spans="1:2">
      <c r="A1124" t="str">
        <f>Prices!A1130</f>
        <v>40362-01</v>
      </c>
      <c r="B1124" s="470">
        <f>IF('Flow Indicator Parts List'!$D$2="CDN$",_xlfn.XLOOKUP(A1124,Prices!A:A,Prices!D:D),IF('Flow Indicator Parts List'!$D$2="US$",_xlfn.XLOOKUP(CurrencyModifier!A1124,Prices!A:A,Prices!E:E,"MISSING")))</f>
        <v>7.6319999999999997</v>
      </c>
    </row>
    <row r="1125" spans="1:2">
      <c r="A1125" t="str">
        <f>Prices!A1131</f>
        <v>40365-00</v>
      </c>
      <c r="B1125" s="470">
        <f>IF('Flow Indicator Parts List'!$D$2="CDN$",_xlfn.XLOOKUP(A1125,Prices!A:A,Prices!D:D),IF('Flow Indicator Parts List'!$D$2="US$",_xlfn.XLOOKUP(CurrencyModifier!A1125,Prices!A:A,Prices!E:E,"MISSING")))</f>
        <v>10.494</v>
      </c>
    </row>
    <row r="1126" spans="1:2">
      <c r="A1126" t="str">
        <f>Prices!A1132</f>
        <v>40365-01</v>
      </c>
      <c r="B1126" s="470">
        <f>IF('Flow Indicator Parts List'!$D$2="CDN$",_xlfn.XLOOKUP(A1126,Prices!A:A,Prices!D:D),IF('Flow Indicator Parts List'!$D$2="US$",_xlfn.XLOOKUP(CurrencyModifier!A1126,Prices!A:A,Prices!E:E,"MISSING")))</f>
        <v>7.6319999999999997</v>
      </c>
    </row>
    <row r="1127" spans="1:2">
      <c r="A1127" t="str">
        <f>Prices!A1133</f>
        <v>40366-00</v>
      </c>
      <c r="B1127" s="470">
        <f>IF('Flow Indicator Parts List'!$D$2="CDN$",_xlfn.XLOOKUP(A1127,Prices!A:A,Prices!D:D),IF('Flow Indicator Parts List'!$D$2="US$",_xlfn.XLOOKUP(CurrencyModifier!A1127,Prices!A:A,Prices!E:E,"MISSING")))</f>
        <v>10.494</v>
      </c>
    </row>
    <row r="1128" spans="1:2">
      <c r="A1128" t="str">
        <f>Prices!A1134</f>
        <v>40366-01</v>
      </c>
      <c r="B1128" s="470">
        <f>IF('Flow Indicator Parts List'!$D$2="CDN$",_xlfn.XLOOKUP(A1128,Prices!A:A,Prices!D:D),IF('Flow Indicator Parts List'!$D$2="US$",_xlfn.XLOOKUP(CurrencyModifier!A1128,Prices!A:A,Prices!E:E,"MISSING")))</f>
        <v>7.6319999999999997</v>
      </c>
    </row>
    <row r="1129" spans="1:2">
      <c r="A1129" t="str">
        <f>Prices!A1135</f>
        <v>40367-00</v>
      </c>
      <c r="B1129" s="470">
        <f>IF('Flow Indicator Parts List'!$D$2="CDN$",_xlfn.XLOOKUP(A1129,Prices!A:A,Prices!D:D),IF('Flow Indicator Parts List'!$D$2="US$",_xlfn.XLOOKUP(CurrencyModifier!A1129,Prices!A:A,Prices!E:E,"MISSING")))</f>
        <v>10.494</v>
      </c>
    </row>
    <row r="1130" spans="1:2">
      <c r="A1130" t="str">
        <f>Prices!A1136</f>
        <v>40367-01</v>
      </c>
      <c r="B1130" s="470">
        <f>IF('Flow Indicator Parts List'!$D$2="CDN$",_xlfn.XLOOKUP(A1130,Prices!A:A,Prices!D:D),IF('Flow Indicator Parts List'!$D$2="US$",_xlfn.XLOOKUP(CurrencyModifier!A1130,Prices!A:A,Prices!E:E,"MISSING")))</f>
        <v>7.6319999999999997</v>
      </c>
    </row>
    <row r="1131" spans="1:2">
      <c r="A1131" t="str">
        <f>Prices!A1137</f>
        <v>40370-00</v>
      </c>
      <c r="B1131" s="470">
        <f>IF('Flow Indicator Parts List'!$D$2="CDN$",_xlfn.XLOOKUP(A1131,Prices!A:A,Prices!D:D),IF('Flow Indicator Parts List'!$D$2="US$",_xlfn.XLOOKUP(CurrencyModifier!A1131,Prices!A:A,Prices!E:E,"MISSING")))</f>
        <v>10.494</v>
      </c>
    </row>
    <row r="1132" spans="1:2">
      <c r="A1132" t="str">
        <f>Prices!A1138</f>
        <v>40370-01</v>
      </c>
      <c r="B1132" s="470">
        <f>IF('Flow Indicator Parts List'!$D$2="CDN$",_xlfn.XLOOKUP(A1132,Prices!A:A,Prices!D:D),IF('Flow Indicator Parts List'!$D$2="US$",_xlfn.XLOOKUP(CurrencyModifier!A1132,Prices!A:A,Prices!E:E,"MISSING")))</f>
        <v>7.6319999999999997</v>
      </c>
    </row>
    <row r="1133" spans="1:2">
      <c r="A1133" t="str">
        <f>Prices!A1139</f>
        <v>40371-00</v>
      </c>
      <c r="B1133" s="470">
        <f>IF('Flow Indicator Parts List'!$D$2="CDN$",_xlfn.XLOOKUP(A1133,Prices!A:A,Prices!D:D),IF('Flow Indicator Parts List'!$D$2="US$",_xlfn.XLOOKUP(CurrencyModifier!A1133,Prices!A:A,Prices!E:E,"MISSING")))</f>
        <v>10.494</v>
      </c>
    </row>
    <row r="1134" spans="1:2">
      <c r="A1134" t="str">
        <f>Prices!A1140</f>
        <v>40371-01</v>
      </c>
      <c r="B1134" s="470">
        <f>IF('Flow Indicator Parts List'!$D$2="CDN$",_xlfn.XLOOKUP(A1134,Prices!A:A,Prices!D:D),IF('Flow Indicator Parts List'!$D$2="US$",_xlfn.XLOOKUP(CurrencyModifier!A1134,Prices!A:A,Prices!E:E,"MISSING")))</f>
        <v>7.6319999999999997</v>
      </c>
    </row>
    <row r="1135" spans="1:2">
      <c r="A1135" t="str">
        <f>Prices!A1141</f>
        <v>40372-00</v>
      </c>
      <c r="B1135" s="470">
        <f>IF('Flow Indicator Parts List'!$D$2="CDN$",_xlfn.XLOOKUP(A1135,Prices!A:A,Prices!D:D),IF('Flow Indicator Parts List'!$D$2="US$",_xlfn.XLOOKUP(CurrencyModifier!A1135,Prices!A:A,Prices!E:E,"MISSING")))</f>
        <v>10.494</v>
      </c>
    </row>
    <row r="1136" spans="1:2">
      <c r="A1136" t="str">
        <f>Prices!A1142</f>
        <v>40372-01</v>
      </c>
      <c r="B1136" s="470">
        <f>IF('Flow Indicator Parts List'!$D$2="CDN$",_xlfn.XLOOKUP(A1136,Prices!A:A,Prices!D:D),IF('Flow Indicator Parts List'!$D$2="US$",_xlfn.XLOOKUP(CurrencyModifier!A1136,Prices!A:A,Prices!E:E,"MISSING")))</f>
        <v>7.6319999999999997</v>
      </c>
    </row>
    <row r="1137" spans="1:2">
      <c r="A1137" t="str">
        <f>Prices!A1143</f>
        <v>40380-00</v>
      </c>
      <c r="B1137" s="470">
        <f>IF('Flow Indicator Parts List'!$D$2="CDN$",_xlfn.XLOOKUP(A1137,Prices!A:A,Prices!D:D),IF('Flow Indicator Parts List'!$D$2="US$",_xlfn.XLOOKUP(CurrencyModifier!A1137,Prices!A:A,Prices!E:E,"MISSING")))</f>
        <v>10.494</v>
      </c>
    </row>
    <row r="1138" spans="1:2">
      <c r="A1138" t="str">
        <f>Prices!A1144</f>
        <v>40380-01</v>
      </c>
      <c r="B1138" s="470">
        <f>IF('Flow Indicator Parts List'!$D$2="CDN$",_xlfn.XLOOKUP(A1138,Prices!A:A,Prices!D:D),IF('Flow Indicator Parts List'!$D$2="US$",_xlfn.XLOOKUP(CurrencyModifier!A1138,Prices!A:A,Prices!E:E,"MISSING")))</f>
        <v>7.6319999999999997</v>
      </c>
    </row>
    <row r="1139" spans="1:2">
      <c r="A1139" t="str">
        <f>Prices!A1145</f>
        <v>40381-00</v>
      </c>
      <c r="B1139" s="470">
        <f>IF('Flow Indicator Parts List'!$D$2="CDN$",_xlfn.XLOOKUP(A1139,Prices!A:A,Prices!D:D),IF('Flow Indicator Parts List'!$D$2="US$",_xlfn.XLOOKUP(CurrencyModifier!A1139,Prices!A:A,Prices!E:E,"MISSING")))</f>
        <v>10.494</v>
      </c>
    </row>
    <row r="1140" spans="1:2">
      <c r="A1140" t="str">
        <f>Prices!A1146</f>
        <v>40381-01</v>
      </c>
      <c r="B1140" s="470">
        <f>IF('Flow Indicator Parts List'!$D$2="CDN$",_xlfn.XLOOKUP(A1140,Prices!A:A,Prices!D:D),IF('Flow Indicator Parts List'!$D$2="US$",_xlfn.XLOOKUP(CurrencyModifier!A1140,Prices!A:A,Prices!E:E,"MISSING")))</f>
        <v>7.6319999999999997</v>
      </c>
    </row>
    <row r="1141" spans="1:2">
      <c r="A1141" t="str">
        <f>Prices!A1147</f>
        <v>40382-00</v>
      </c>
      <c r="B1141" s="470">
        <f>IF('Flow Indicator Parts List'!$D$2="CDN$",_xlfn.XLOOKUP(A1141,Prices!A:A,Prices!D:D),IF('Flow Indicator Parts List'!$D$2="US$",_xlfn.XLOOKUP(CurrencyModifier!A1141,Prices!A:A,Prices!E:E,"MISSING")))</f>
        <v>10.494</v>
      </c>
    </row>
    <row r="1142" spans="1:2">
      <c r="A1142" t="str">
        <f>Prices!A1148</f>
        <v>40382-01</v>
      </c>
      <c r="B1142" s="470">
        <f>IF('Flow Indicator Parts List'!$D$2="CDN$",_xlfn.XLOOKUP(A1142,Prices!A:A,Prices!D:D),IF('Flow Indicator Parts List'!$D$2="US$",_xlfn.XLOOKUP(CurrencyModifier!A1142,Prices!A:A,Prices!E:E,"MISSING")))</f>
        <v>7.6319999999999997</v>
      </c>
    </row>
    <row r="1143" spans="1:2">
      <c r="A1143" t="str">
        <f>Prices!A1149</f>
        <v>40383-00</v>
      </c>
      <c r="B1143" s="470">
        <f>IF('Flow Indicator Parts List'!$D$2="CDN$",_xlfn.XLOOKUP(A1143,Prices!A:A,Prices!D:D),IF('Flow Indicator Parts List'!$D$2="US$",_xlfn.XLOOKUP(CurrencyModifier!A1143,Prices!A:A,Prices!E:E,"MISSING")))</f>
        <v>10.494</v>
      </c>
    </row>
    <row r="1144" spans="1:2">
      <c r="A1144" t="str">
        <f>Prices!A1150</f>
        <v>40383-01</v>
      </c>
      <c r="B1144" s="470">
        <f>IF('Flow Indicator Parts List'!$D$2="CDN$",_xlfn.XLOOKUP(A1144,Prices!A:A,Prices!D:D),IF('Flow Indicator Parts List'!$D$2="US$",_xlfn.XLOOKUP(CurrencyModifier!A1144,Prices!A:A,Prices!E:E,"MISSING")))</f>
        <v>7.6319999999999997</v>
      </c>
    </row>
    <row r="1145" spans="1:2">
      <c r="A1145" t="str">
        <f>Prices!A1151</f>
        <v>40385-00</v>
      </c>
      <c r="B1145" s="470">
        <f>IF('Flow Indicator Parts List'!$D$2="CDN$",_xlfn.XLOOKUP(A1145,Prices!A:A,Prices!D:D),IF('Flow Indicator Parts List'!$D$2="US$",_xlfn.XLOOKUP(CurrencyModifier!A1145,Prices!A:A,Prices!E:E,"MISSING")))</f>
        <v>10.494</v>
      </c>
    </row>
    <row r="1146" spans="1:2">
      <c r="A1146" t="str">
        <f>Prices!A1152</f>
        <v>40385-01</v>
      </c>
      <c r="B1146" s="470">
        <f>IF('Flow Indicator Parts List'!$D$2="CDN$",_xlfn.XLOOKUP(A1146,Prices!A:A,Prices!D:D),IF('Flow Indicator Parts List'!$D$2="US$",_xlfn.XLOOKUP(CurrencyModifier!A1146,Prices!A:A,Prices!E:E,"MISSING")))</f>
        <v>7.6319999999999997</v>
      </c>
    </row>
    <row r="1147" spans="1:2">
      <c r="A1147" t="str">
        <f>Prices!A1153</f>
        <v>40386-00</v>
      </c>
      <c r="B1147" s="470">
        <f>IF('Flow Indicator Parts List'!$D$2="CDN$",_xlfn.XLOOKUP(A1147,Prices!A:A,Prices!D:D),IF('Flow Indicator Parts List'!$D$2="US$",_xlfn.XLOOKUP(CurrencyModifier!A1147,Prices!A:A,Prices!E:E,"MISSING")))</f>
        <v>10.494</v>
      </c>
    </row>
    <row r="1148" spans="1:2">
      <c r="A1148" t="str">
        <f>Prices!A1154</f>
        <v>40386-01</v>
      </c>
      <c r="B1148" s="470">
        <f>IF('Flow Indicator Parts List'!$D$2="CDN$",_xlfn.XLOOKUP(A1148,Prices!A:A,Prices!D:D),IF('Flow Indicator Parts List'!$D$2="US$",_xlfn.XLOOKUP(CurrencyModifier!A1148,Prices!A:A,Prices!E:E,"MISSING")))</f>
        <v>7.6319999999999997</v>
      </c>
    </row>
    <row r="1149" spans="1:2">
      <c r="A1149" t="str">
        <f>Prices!A1155</f>
        <v>40387-00</v>
      </c>
      <c r="B1149" s="470">
        <f>IF('Flow Indicator Parts List'!$D$2="CDN$",_xlfn.XLOOKUP(A1149,Prices!A:A,Prices!D:D),IF('Flow Indicator Parts List'!$D$2="US$",_xlfn.XLOOKUP(CurrencyModifier!A1149,Prices!A:A,Prices!E:E,"MISSING")))</f>
        <v>10.494</v>
      </c>
    </row>
    <row r="1150" spans="1:2">
      <c r="A1150" t="str">
        <f>Prices!A1156</f>
        <v>40387-01</v>
      </c>
      <c r="B1150" s="470">
        <f>IF('Flow Indicator Parts List'!$D$2="CDN$",_xlfn.XLOOKUP(A1150,Prices!A:A,Prices!D:D),IF('Flow Indicator Parts List'!$D$2="US$",_xlfn.XLOOKUP(CurrencyModifier!A1150,Prices!A:A,Prices!E:E,"MISSING")))</f>
        <v>7.6319999999999997</v>
      </c>
    </row>
    <row r="1151" spans="1:2">
      <c r="A1151" t="str">
        <f>Prices!A1157</f>
        <v>40388-00</v>
      </c>
      <c r="B1151" s="470">
        <f>IF('Flow Indicator Parts List'!$D$2="CDN$",_xlfn.XLOOKUP(A1151,Prices!A:A,Prices!D:D),IF('Flow Indicator Parts List'!$D$2="US$",_xlfn.XLOOKUP(CurrencyModifier!A1151,Prices!A:A,Prices!E:E,"MISSING")))</f>
        <v>10.494</v>
      </c>
    </row>
    <row r="1152" spans="1:2">
      <c r="A1152" t="str">
        <f>Prices!A1158</f>
        <v>40388-01</v>
      </c>
      <c r="B1152" s="470">
        <f>IF('Flow Indicator Parts List'!$D$2="CDN$",_xlfn.XLOOKUP(A1152,Prices!A:A,Prices!D:D),IF('Flow Indicator Parts List'!$D$2="US$",_xlfn.XLOOKUP(CurrencyModifier!A1152,Prices!A:A,Prices!E:E,"MISSING")))</f>
        <v>7.6319999999999997</v>
      </c>
    </row>
    <row r="1153" spans="1:2">
      <c r="A1153" t="str">
        <f>Prices!A1159</f>
        <v>40390-00</v>
      </c>
      <c r="B1153" s="470">
        <f>IF('Flow Indicator Parts List'!$D$2="CDN$",_xlfn.XLOOKUP(A1153,Prices!A:A,Prices!D:D),IF('Flow Indicator Parts List'!$D$2="US$",_xlfn.XLOOKUP(CurrencyModifier!A1153,Prices!A:A,Prices!E:E,"MISSING")))</f>
        <v>10.494</v>
      </c>
    </row>
    <row r="1154" spans="1:2">
      <c r="A1154" t="str">
        <f>Prices!A1160</f>
        <v>40390-01</v>
      </c>
      <c r="B1154" s="470">
        <f>IF('Flow Indicator Parts List'!$D$2="CDN$",_xlfn.XLOOKUP(A1154,Prices!A:A,Prices!D:D),IF('Flow Indicator Parts List'!$D$2="US$",_xlfn.XLOOKUP(CurrencyModifier!A1154,Prices!A:A,Prices!E:E,"MISSING")))</f>
        <v>7.6319999999999997</v>
      </c>
    </row>
    <row r="1155" spans="1:2">
      <c r="A1155" t="str">
        <f>Prices!A1161</f>
        <v>40391-00</v>
      </c>
      <c r="B1155" s="470">
        <f>IF('Flow Indicator Parts List'!$D$2="CDN$",_xlfn.XLOOKUP(A1155,Prices!A:A,Prices!D:D),IF('Flow Indicator Parts List'!$D$2="US$",_xlfn.XLOOKUP(CurrencyModifier!A1155,Prices!A:A,Prices!E:E,"MISSING")))</f>
        <v>10.494</v>
      </c>
    </row>
    <row r="1156" spans="1:2">
      <c r="A1156" t="str">
        <f>Prices!A1162</f>
        <v>40391-01</v>
      </c>
      <c r="B1156" s="470">
        <f>IF('Flow Indicator Parts List'!$D$2="CDN$",_xlfn.XLOOKUP(A1156,Prices!A:A,Prices!D:D),IF('Flow Indicator Parts List'!$D$2="US$",_xlfn.XLOOKUP(CurrencyModifier!A1156,Prices!A:A,Prices!E:E,"MISSING")))</f>
        <v>7.6319999999999997</v>
      </c>
    </row>
    <row r="1157" spans="1:2">
      <c r="A1157" t="str">
        <f>Prices!A1163</f>
        <v>40392-00</v>
      </c>
      <c r="B1157" s="470">
        <f>IF('Flow Indicator Parts List'!$D$2="CDN$",_xlfn.XLOOKUP(A1157,Prices!A:A,Prices!D:D),IF('Flow Indicator Parts List'!$D$2="US$",_xlfn.XLOOKUP(CurrencyModifier!A1157,Prices!A:A,Prices!E:E,"MISSING")))</f>
        <v>10.494</v>
      </c>
    </row>
    <row r="1158" spans="1:2">
      <c r="A1158" t="str">
        <f>Prices!A1164</f>
        <v>40392-01</v>
      </c>
      <c r="B1158" s="470">
        <f>IF('Flow Indicator Parts List'!$D$2="CDN$",_xlfn.XLOOKUP(A1158,Prices!A:A,Prices!D:D),IF('Flow Indicator Parts List'!$D$2="US$",_xlfn.XLOOKUP(CurrencyModifier!A1158,Prices!A:A,Prices!E:E,"MISSING")))</f>
        <v>7.6319999999999997</v>
      </c>
    </row>
    <row r="1159" spans="1:2">
      <c r="A1159" t="str">
        <f>Prices!A1165</f>
        <v>40401-00</v>
      </c>
      <c r="B1159" s="470">
        <f>IF('Flow Indicator Parts List'!$D$2="CDN$",_xlfn.XLOOKUP(A1159,Prices!A:A,Prices!D:D),IF('Flow Indicator Parts List'!$D$2="US$",_xlfn.XLOOKUP(CurrencyModifier!A1159,Prices!A:A,Prices!E:E,"MISSING")))</f>
        <v>0</v>
      </c>
    </row>
    <row r="1160" spans="1:2">
      <c r="A1160" t="str">
        <f>Prices!A1166</f>
        <v>40402-00</v>
      </c>
      <c r="B1160" s="470">
        <f>IF('Flow Indicator Parts List'!$D$2="CDN$",_xlfn.XLOOKUP(A1160,Prices!A:A,Prices!D:D),IF('Flow Indicator Parts List'!$D$2="US$",_xlfn.XLOOKUP(CurrencyModifier!A1160,Prices!A:A,Prices!E:E,"MISSING")))</f>
        <v>0</v>
      </c>
    </row>
    <row r="1161" spans="1:2">
      <c r="A1161" t="str">
        <f>Prices!A1167</f>
        <v>40406-00</v>
      </c>
      <c r="B1161" s="470">
        <f>IF('Flow Indicator Parts List'!$D$2="CDN$",_xlfn.XLOOKUP(A1161,Prices!A:A,Prices!D:D),IF('Flow Indicator Parts List'!$D$2="US$",_xlfn.XLOOKUP(CurrencyModifier!A1161,Prices!A:A,Prices!E:E,"MISSING")))</f>
        <v>2.762</v>
      </c>
    </row>
    <row r="1162" spans="1:2">
      <c r="A1162" t="str">
        <f>Prices!A1168</f>
        <v>40407-00</v>
      </c>
      <c r="B1162" s="470">
        <f>IF('Flow Indicator Parts List'!$D$2="CDN$",_xlfn.XLOOKUP(A1162,Prices!A:A,Prices!D:D),IF('Flow Indicator Parts List'!$D$2="US$",_xlfn.XLOOKUP(CurrencyModifier!A1162,Prices!A:A,Prices!E:E,"MISSING")))</f>
        <v>2.762</v>
      </c>
    </row>
    <row r="1163" spans="1:2">
      <c r="A1163" t="str">
        <f>Prices!A1169</f>
        <v>40411-00</v>
      </c>
      <c r="B1163" s="470">
        <f>IF('Flow Indicator Parts List'!$D$2="CDN$",_xlfn.XLOOKUP(A1163,Prices!A:A,Prices!D:D),IF('Flow Indicator Parts List'!$D$2="US$",_xlfn.XLOOKUP(CurrencyModifier!A1163,Prices!A:A,Prices!E:E,"MISSING")))</f>
        <v>0</v>
      </c>
    </row>
    <row r="1164" spans="1:2">
      <c r="A1164" t="str">
        <f>Prices!A1170</f>
        <v>40412-00</v>
      </c>
      <c r="B1164" s="470">
        <f>IF('Flow Indicator Parts List'!$D$2="CDN$",_xlfn.XLOOKUP(A1164,Prices!A:A,Prices!D:D),IF('Flow Indicator Parts List'!$D$2="US$",_xlfn.XLOOKUP(CurrencyModifier!A1164,Prices!A:A,Prices!E:E,"MISSING")))</f>
        <v>0</v>
      </c>
    </row>
    <row r="1165" spans="1:2">
      <c r="A1165" t="str">
        <f>Prices!A1171</f>
        <v>40420-05</v>
      </c>
      <c r="B1165" s="470">
        <f>IF('Flow Indicator Parts List'!$D$2="CDN$",_xlfn.XLOOKUP(A1165,Prices!A:A,Prices!D:D),IF('Flow Indicator Parts List'!$D$2="US$",_xlfn.XLOOKUP(CurrencyModifier!A1165,Prices!A:A,Prices!E:E,"MISSING")))</f>
        <v>1.669</v>
      </c>
    </row>
    <row r="1166" spans="1:2">
      <c r="A1166" t="str">
        <f>Prices!A1172</f>
        <v>40420-B5</v>
      </c>
      <c r="B1166" s="470">
        <f>IF('Flow Indicator Parts List'!$D$2="CDN$",_xlfn.XLOOKUP(A1166,Prices!A:A,Prices!D:D),IF('Flow Indicator Parts List'!$D$2="US$",_xlfn.XLOOKUP(CurrencyModifier!A1166,Prices!A:A,Prices!E:E,"MISSING")))</f>
        <v>2.8170000000000002</v>
      </c>
    </row>
    <row r="1167" spans="1:2">
      <c r="A1167" t="str">
        <f>Prices!A1173</f>
        <v>40420-V5</v>
      </c>
      <c r="B1167" s="470">
        <f>IF('Flow Indicator Parts List'!$D$2="CDN$",_xlfn.XLOOKUP(A1167,Prices!A:A,Prices!D:D),IF('Flow Indicator Parts List'!$D$2="US$",_xlfn.XLOOKUP(CurrencyModifier!A1167,Prices!A:A,Prices!E:E,"MISSING")))</f>
        <v>5.077</v>
      </c>
    </row>
    <row r="1168" spans="1:2">
      <c r="A1168" t="str">
        <f>Prices!A1174</f>
        <v>40422-01</v>
      </c>
      <c r="B1168" s="470">
        <f>IF('Flow Indicator Parts List'!$D$2="CDN$",_xlfn.XLOOKUP(A1168,Prices!A:A,Prices!D:D),IF('Flow Indicator Parts List'!$D$2="US$",_xlfn.XLOOKUP(CurrencyModifier!A1168,Prices!A:A,Prices!E:E,"MISSING")))</f>
        <v>1.669</v>
      </c>
    </row>
    <row r="1169" spans="1:2">
      <c r="A1169" t="str">
        <f>Prices!A1175</f>
        <v>40422-02</v>
      </c>
      <c r="B1169" s="470">
        <f>IF('Flow Indicator Parts List'!$D$2="CDN$",_xlfn.XLOOKUP(A1169,Prices!A:A,Prices!D:D),IF('Flow Indicator Parts List'!$D$2="US$",_xlfn.XLOOKUP(CurrencyModifier!A1169,Prices!A:A,Prices!E:E,"MISSING")))</f>
        <v>1.669</v>
      </c>
    </row>
    <row r="1170" spans="1:2">
      <c r="A1170" t="str">
        <f>Prices!A1176</f>
        <v>40422-03</v>
      </c>
      <c r="B1170" s="470">
        <f>IF('Flow Indicator Parts List'!$D$2="CDN$",_xlfn.XLOOKUP(A1170,Prices!A:A,Prices!D:D),IF('Flow Indicator Parts List'!$D$2="US$",_xlfn.XLOOKUP(CurrencyModifier!A1170,Prices!A:A,Prices!E:E,"MISSING")))</f>
        <v>1.669</v>
      </c>
    </row>
    <row r="1171" spans="1:2">
      <c r="A1171" t="str">
        <f>Prices!A1177</f>
        <v>40422-04</v>
      </c>
      <c r="B1171" s="470">
        <f>IF('Flow Indicator Parts List'!$D$2="CDN$",_xlfn.XLOOKUP(A1171,Prices!A:A,Prices!D:D),IF('Flow Indicator Parts List'!$D$2="US$",_xlfn.XLOOKUP(CurrencyModifier!A1171,Prices!A:A,Prices!E:E,"MISSING")))</f>
        <v>1.669</v>
      </c>
    </row>
    <row r="1172" spans="1:2">
      <c r="A1172" t="str">
        <f>Prices!A1178</f>
        <v>40422-05</v>
      </c>
      <c r="B1172" s="470">
        <f>IF('Flow Indicator Parts List'!$D$2="CDN$",_xlfn.XLOOKUP(A1172,Prices!A:A,Prices!D:D),IF('Flow Indicator Parts List'!$D$2="US$",_xlfn.XLOOKUP(CurrencyModifier!A1172,Prices!A:A,Prices!E:E,"MISSING")))</f>
        <v>1.669</v>
      </c>
    </row>
    <row r="1173" spans="1:2">
      <c r="A1173" t="str">
        <f>Prices!A1179</f>
        <v>40422-B5</v>
      </c>
      <c r="B1173" s="470">
        <f>IF('Flow Indicator Parts List'!$D$2="CDN$",_xlfn.XLOOKUP(A1173,Prices!A:A,Prices!D:D),IF('Flow Indicator Parts List'!$D$2="US$",_xlfn.XLOOKUP(CurrencyModifier!A1173,Prices!A:A,Prices!E:E,"MISSING")))</f>
        <v>2.8170000000000002</v>
      </c>
    </row>
    <row r="1174" spans="1:2">
      <c r="A1174" t="str">
        <f>Prices!A1180</f>
        <v>40422-V5</v>
      </c>
      <c r="B1174" s="470">
        <f>IF('Flow Indicator Parts List'!$D$2="CDN$",_xlfn.XLOOKUP(A1174,Prices!A:A,Prices!D:D),IF('Flow Indicator Parts List'!$D$2="US$",_xlfn.XLOOKUP(CurrencyModifier!A1174,Prices!A:A,Prices!E:E,"MISSING")))</f>
        <v>5.077</v>
      </c>
    </row>
    <row r="1175" spans="1:2">
      <c r="A1175" t="str">
        <f>Prices!A1181</f>
        <v>40424-01</v>
      </c>
      <c r="B1175" s="470">
        <f>IF('Flow Indicator Parts List'!$D$2="CDN$",_xlfn.XLOOKUP(A1175,Prices!A:A,Prices!D:D),IF('Flow Indicator Parts List'!$D$2="US$",_xlfn.XLOOKUP(CurrencyModifier!A1175,Prices!A:A,Prices!E:E,"MISSING")))</f>
        <v>1.669</v>
      </c>
    </row>
    <row r="1176" spans="1:2">
      <c r="A1176" t="str">
        <f>Prices!A1182</f>
        <v>40424-02</v>
      </c>
      <c r="B1176" s="470">
        <f>IF('Flow Indicator Parts List'!$D$2="CDN$",_xlfn.XLOOKUP(A1176,Prices!A:A,Prices!D:D),IF('Flow Indicator Parts List'!$D$2="US$",_xlfn.XLOOKUP(CurrencyModifier!A1176,Prices!A:A,Prices!E:E,"MISSING")))</f>
        <v>1.669</v>
      </c>
    </row>
    <row r="1177" spans="1:2">
      <c r="A1177" t="str">
        <f>Prices!A1183</f>
        <v>40424-03</v>
      </c>
      <c r="B1177" s="470">
        <f>IF('Flow Indicator Parts List'!$D$2="CDN$",_xlfn.XLOOKUP(A1177,Prices!A:A,Prices!D:D),IF('Flow Indicator Parts List'!$D$2="US$",_xlfn.XLOOKUP(CurrencyModifier!A1177,Prices!A:A,Prices!E:E,"MISSING")))</f>
        <v>1.669</v>
      </c>
    </row>
    <row r="1178" spans="1:2">
      <c r="A1178" t="str">
        <f>Prices!A1184</f>
        <v>40424-04</v>
      </c>
      <c r="B1178" s="470">
        <f>IF('Flow Indicator Parts List'!$D$2="CDN$",_xlfn.XLOOKUP(A1178,Prices!A:A,Prices!D:D),IF('Flow Indicator Parts List'!$D$2="US$",_xlfn.XLOOKUP(CurrencyModifier!A1178,Prices!A:A,Prices!E:E,"MISSING")))</f>
        <v>1.669</v>
      </c>
    </row>
    <row r="1179" spans="1:2">
      <c r="A1179" t="str">
        <f>Prices!A1185</f>
        <v>40424-05</v>
      </c>
      <c r="B1179" s="470">
        <f>IF('Flow Indicator Parts List'!$D$2="CDN$",_xlfn.XLOOKUP(A1179,Prices!A:A,Prices!D:D),IF('Flow Indicator Parts List'!$D$2="US$",_xlfn.XLOOKUP(CurrencyModifier!A1179,Prices!A:A,Prices!E:E,"MISSING")))</f>
        <v>1.669</v>
      </c>
    </row>
    <row r="1180" spans="1:2">
      <c r="A1180" t="str">
        <f>Prices!A1186</f>
        <v>40424-06</v>
      </c>
      <c r="B1180" s="470">
        <f>IF('Flow Indicator Parts List'!$D$2="CDN$",_xlfn.XLOOKUP(A1180,Prices!A:A,Prices!D:D),IF('Flow Indicator Parts List'!$D$2="US$",_xlfn.XLOOKUP(CurrencyModifier!A1180,Prices!A:A,Prices!E:E,"MISSING")))</f>
        <v>1.669</v>
      </c>
    </row>
    <row r="1181" spans="1:2">
      <c r="A1181" t="str">
        <f>Prices!A1187</f>
        <v>40424-B5</v>
      </c>
      <c r="B1181" s="470">
        <f>IF('Flow Indicator Parts List'!$D$2="CDN$",_xlfn.XLOOKUP(A1181,Prices!A:A,Prices!D:D),IF('Flow Indicator Parts List'!$D$2="US$",_xlfn.XLOOKUP(CurrencyModifier!A1181,Prices!A:A,Prices!E:E,"MISSING")))</f>
        <v>2.8170000000000002</v>
      </c>
    </row>
    <row r="1182" spans="1:2">
      <c r="A1182" t="str">
        <f>Prices!A1188</f>
        <v>40424-V5</v>
      </c>
      <c r="B1182" s="470">
        <f>IF('Flow Indicator Parts List'!$D$2="CDN$",_xlfn.XLOOKUP(A1182,Prices!A:A,Prices!D:D),IF('Flow Indicator Parts List'!$D$2="US$",_xlfn.XLOOKUP(CurrencyModifier!A1182,Prices!A:A,Prices!E:E,"MISSING")))</f>
        <v>5.077</v>
      </c>
    </row>
    <row r="1183" spans="1:2">
      <c r="A1183" t="str">
        <f>Prices!A1189</f>
        <v>40426-01</v>
      </c>
      <c r="B1183" s="470">
        <f>IF('Flow Indicator Parts List'!$D$2="CDN$",_xlfn.XLOOKUP(A1183,Prices!A:A,Prices!D:D),IF('Flow Indicator Parts List'!$D$2="US$",_xlfn.XLOOKUP(CurrencyModifier!A1183,Prices!A:A,Prices!E:E,"MISSING")))</f>
        <v>1.669</v>
      </c>
    </row>
    <row r="1184" spans="1:2">
      <c r="A1184" t="str">
        <f>Prices!A1190</f>
        <v>40426-02</v>
      </c>
      <c r="B1184" s="470">
        <f>IF('Flow Indicator Parts List'!$D$2="CDN$",_xlfn.XLOOKUP(A1184,Prices!A:A,Prices!D:D),IF('Flow Indicator Parts List'!$D$2="US$",_xlfn.XLOOKUP(CurrencyModifier!A1184,Prices!A:A,Prices!E:E,"MISSING")))</f>
        <v>1.669</v>
      </c>
    </row>
    <row r="1185" spans="1:2">
      <c r="A1185" t="str">
        <f>Prices!A1191</f>
        <v>40426-03</v>
      </c>
      <c r="B1185" s="470">
        <f>IF('Flow Indicator Parts List'!$D$2="CDN$",_xlfn.XLOOKUP(A1185,Prices!A:A,Prices!D:D),IF('Flow Indicator Parts List'!$D$2="US$",_xlfn.XLOOKUP(CurrencyModifier!A1185,Prices!A:A,Prices!E:E,"MISSING")))</f>
        <v>1.669</v>
      </c>
    </row>
    <row r="1186" spans="1:2">
      <c r="A1186" t="str">
        <f>Prices!A1192</f>
        <v>40426-04</v>
      </c>
      <c r="B1186" s="470">
        <f>IF('Flow Indicator Parts List'!$D$2="CDN$",_xlfn.XLOOKUP(A1186,Prices!A:A,Prices!D:D),IF('Flow Indicator Parts List'!$D$2="US$",_xlfn.XLOOKUP(CurrencyModifier!A1186,Prices!A:A,Prices!E:E,"MISSING")))</f>
        <v>1.669</v>
      </c>
    </row>
    <row r="1187" spans="1:2">
      <c r="A1187" t="str">
        <f>Prices!A1193</f>
        <v>40426-05</v>
      </c>
      <c r="B1187" s="470">
        <f>IF('Flow Indicator Parts List'!$D$2="CDN$",_xlfn.XLOOKUP(A1187,Prices!A:A,Prices!D:D),IF('Flow Indicator Parts List'!$D$2="US$",_xlfn.XLOOKUP(CurrencyModifier!A1187,Prices!A:A,Prices!E:E,"MISSING")))</f>
        <v>1.669</v>
      </c>
    </row>
    <row r="1188" spans="1:2">
      <c r="A1188" t="str">
        <f>Prices!A1194</f>
        <v>40426-B5</v>
      </c>
      <c r="B1188" s="470">
        <f>IF('Flow Indicator Parts List'!$D$2="CDN$",_xlfn.XLOOKUP(A1188,Prices!A:A,Prices!D:D),IF('Flow Indicator Parts List'!$D$2="US$",_xlfn.XLOOKUP(CurrencyModifier!A1188,Prices!A:A,Prices!E:E,"MISSING")))</f>
        <v>2.8170000000000002</v>
      </c>
    </row>
    <row r="1189" spans="1:2">
      <c r="A1189" t="str">
        <f>Prices!A1195</f>
        <v>40426-V5</v>
      </c>
      <c r="B1189" s="470">
        <f>IF('Flow Indicator Parts List'!$D$2="CDN$",_xlfn.XLOOKUP(A1189,Prices!A:A,Prices!D:D),IF('Flow Indicator Parts List'!$D$2="US$",_xlfn.XLOOKUP(CurrencyModifier!A1189,Prices!A:A,Prices!E:E,"MISSING")))</f>
        <v>5.077</v>
      </c>
    </row>
    <row r="1190" spans="1:2">
      <c r="A1190" t="str">
        <f>Prices!A1196</f>
        <v>40430-01</v>
      </c>
      <c r="B1190" s="470">
        <f>IF('Flow Indicator Parts List'!$D$2="CDN$",_xlfn.XLOOKUP(A1190,Prices!A:A,Prices!D:D),IF('Flow Indicator Parts List'!$D$2="US$",_xlfn.XLOOKUP(CurrencyModifier!A1190,Prices!A:A,Prices!E:E,"MISSING")))</f>
        <v>2.226</v>
      </c>
    </row>
    <row r="1191" spans="1:2">
      <c r="A1191" t="str">
        <f>Prices!A1197</f>
        <v>40430-09</v>
      </c>
      <c r="B1191" s="470">
        <f>IF('Flow Indicator Parts List'!$D$2="CDN$",_xlfn.XLOOKUP(A1191,Prices!A:A,Prices!D:D),IF('Flow Indicator Parts List'!$D$2="US$",_xlfn.XLOOKUP(CurrencyModifier!A1191,Prices!A:A,Prices!E:E,"MISSING")))</f>
        <v>2.226</v>
      </c>
    </row>
    <row r="1192" spans="1:2">
      <c r="A1192" t="str">
        <f>Prices!A1198</f>
        <v>40432-047</v>
      </c>
      <c r="B1192" s="470">
        <f>IF('Flow Indicator Parts List'!$D$2="CDN$",_xlfn.XLOOKUP(A1192,Prices!A:A,Prices!D:D),IF('Flow Indicator Parts List'!$D$2="US$",_xlfn.XLOOKUP(CurrencyModifier!A1192,Prices!A:A,Prices!E:E,"MISSING")))</f>
        <v>9.3930000000000007</v>
      </c>
    </row>
    <row r="1193" spans="1:2">
      <c r="A1193" t="str">
        <f>Prices!A1199</f>
        <v>40432-086</v>
      </c>
      <c r="B1193" s="470">
        <f>IF('Flow Indicator Parts List'!$D$2="CDN$",_xlfn.XLOOKUP(A1193,Prices!A:A,Prices!D:D),IF('Flow Indicator Parts List'!$D$2="US$",_xlfn.XLOOKUP(CurrencyModifier!A1193,Prices!A:A,Prices!E:E,"MISSING")))</f>
        <v>9.3930000000000007</v>
      </c>
    </row>
    <row r="1194" spans="1:2">
      <c r="A1194" t="str">
        <f>Prices!A1200</f>
        <v>40432-104</v>
      </c>
      <c r="B1194" s="470">
        <f>IF('Flow Indicator Parts List'!$D$2="CDN$",_xlfn.XLOOKUP(A1194,Prices!A:A,Prices!D:D),IF('Flow Indicator Parts List'!$D$2="US$",_xlfn.XLOOKUP(CurrencyModifier!A1194,Prices!A:A,Prices!E:E,"MISSING")))</f>
        <v>9.3930000000000007</v>
      </c>
    </row>
    <row r="1195" spans="1:2">
      <c r="A1195" t="str">
        <f>Prices!A1201</f>
        <v>40433-047</v>
      </c>
      <c r="B1195" s="470">
        <f>IF('Flow Indicator Parts List'!$D$2="CDN$",_xlfn.XLOOKUP(A1195,Prices!A:A,Prices!D:D),IF('Flow Indicator Parts List'!$D$2="US$",_xlfn.XLOOKUP(CurrencyModifier!A1195,Prices!A:A,Prices!E:E,"MISSING")))</f>
        <v>12.038</v>
      </c>
    </row>
    <row r="1196" spans="1:2">
      <c r="A1196" t="str">
        <f>Prices!A1202</f>
        <v>40433-067</v>
      </c>
      <c r="B1196" s="470">
        <f>IF('Flow Indicator Parts List'!$D$2="CDN$",_xlfn.XLOOKUP(A1196,Prices!A:A,Prices!D:D),IF('Flow Indicator Parts List'!$D$2="US$",_xlfn.XLOOKUP(CurrencyModifier!A1196,Prices!A:A,Prices!E:E,"MISSING")))</f>
        <v>12.038</v>
      </c>
    </row>
    <row r="1197" spans="1:2">
      <c r="A1197" t="str">
        <f>Prices!A1203</f>
        <v>40433-104</v>
      </c>
      <c r="B1197" s="470">
        <f>IF('Flow Indicator Parts List'!$D$2="CDN$",_xlfn.XLOOKUP(A1197,Prices!A:A,Prices!D:D),IF('Flow Indicator Parts List'!$D$2="US$",_xlfn.XLOOKUP(CurrencyModifier!A1197,Prices!A:A,Prices!E:E,"MISSING")))</f>
        <v>12.038</v>
      </c>
    </row>
    <row r="1198" spans="1:2">
      <c r="A1198" t="str">
        <f>Prices!A1204</f>
        <v>40435-05</v>
      </c>
      <c r="B1198" s="470">
        <f>IF('Flow Indicator Parts List'!$D$2="CDN$",_xlfn.XLOOKUP(A1198,Prices!A:A,Prices!D:D),IF('Flow Indicator Parts List'!$D$2="US$",_xlfn.XLOOKUP(CurrencyModifier!A1198,Prices!A:A,Prices!E:E,"MISSING")))</f>
        <v>5.0419999999999998</v>
      </c>
    </row>
    <row r="1199" spans="1:2">
      <c r="A1199" t="str">
        <f>Prices!A1205</f>
        <v>40435-15</v>
      </c>
      <c r="B1199" s="470">
        <f>IF('Flow Indicator Parts List'!$D$2="CDN$",_xlfn.XLOOKUP(A1199,Prices!A:A,Prices!D:D),IF('Flow Indicator Parts List'!$D$2="US$",_xlfn.XLOOKUP(CurrencyModifier!A1199,Prices!A:A,Prices!E:E,"MISSING")))</f>
        <v>1.28</v>
      </c>
    </row>
    <row r="1200" spans="1:2">
      <c r="A1200" t="str">
        <f>Prices!A1206</f>
        <v>40435-B5</v>
      </c>
      <c r="B1200" s="470">
        <f>IF('Flow Indicator Parts List'!$D$2="CDN$",_xlfn.XLOOKUP(A1200,Prices!A:A,Prices!D:D),IF('Flow Indicator Parts List'!$D$2="US$",_xlfn.XLOOKUP(CurrencyModifier!A1200,Prices!A:A,Prices!E:E,"MISSING")))</f>
        <v>6.1820000000000004</v>
      </c>
    </row>
    <row r="1201" spans="1:2">
      <c r="A1201" t="str">
        <f>Prices!A1207</f>
        <v>40435-V5</v>
      </c>
      <c r="B1201" s="470">
        <f>IF('Flow Indicator Parts List'!$D$2="CDN$",_xlfn.XLOOKUP(A1201,Prices!A:A,Prices!D:D),IF('Flow Indicator Parts List'!$D$2="US$",_xlfn.XLOOKUP(CurrencyModifier!A1201,Prices!A:A,Prices!E:E,"MISSING")))</f>
        <v>8.44</v>
      </c>
    </row>
    <row r="1202" spans="1:2">
      <c r="A1202" t="str">
        <f>Prices!A1208</f>
        <v>40436-05</v>
      </c>
      <c r="B1202" s="470">
        <f>IF('Flow Indicator Parts List'!$D$2="CDN$",_xlfn.XLOOKUP(A1202,Prices!A:A,Prices!D:D),IF('Flow Indicator Parts List'!$D$2="US$",_xlfn.XLOOKUP(CurrencyModifier!A1202,Prices!A:A,Prices!E:E,"MISSING")))</f>
        <v>5.2110000000000003</v>
      </c>
    </row>
    <row r="1203" spans="1:2">
      <c r="A1203" t="str">
        <f>Prices!A1209</f>
        <v>40436-15</v>
      </c>
      <c r="B1203" s="470">
        <f>IF('Flow Indicator Parts List'!$D$2="CDN$",_xlfn.XLOOKUP(A1203,Prices!A:A,Prices!D:D),IF('Flow Indicator Parts List'!$D$2="US$",_xlfn.XLOOKUP(CurrencyModifier!A1203,Prices!A:A,Prices!E:E,"MISSING")))</f>
        <v>1.28</v>
      </c>
    </row>
    <row r="1204" spans="1:2">
      <c r="A1204" t="str">
        <f>Prices!A1210</f>
        <v>40436-B5</v>
      </c>
      <c r="B1204" s="470">
        <f>IF('Flow Indicator Parts List'!$D$2="CDN$",_xlfn.XLOOKUP(A1204,Prices!A:A,Prices!D:D),IF('Flow Indicator Parts List'!$D$2="US$",_xlfn.XLOOKUP(CurrencyModifier!A1204,Prices!A:A,Prices!E:E,"MISSING")))</f>
        <v>6.35</v>
      </c>
    </row>
    <row r="1205" spans="1:2">
      <c r="A1205" t="str">
        <f>Prices!A1211</f>
        <v>40436-V5</v>
      </c>
      <c r="B1205" s="470">
        <f>IF('Flow Indicator Parts List'!$D$2="CDN$",_xlfn.XLOOKUP(A1205,Prices!A:A,Prices!D:D),IF('Flow Indicator Parts List'!$D$2="US$",_xlfn.XLOOKUP(CurrencyModifier!A1205,Prices!A:A,Prices!E:E,"MISSING")))</f>
        <v>8.609</v>
      </c>
    </row>
    <row r="1206" spans="1:2">
      <c r="A1206" t="str">
        <f>Prices!A1212</f>
        <v>40437-05</v>
      </c>
      <c r="B1206" s="470">
        <f>IF('Flow Indicator Parts List'!$D$2="CDN$",_xlfn.XLOOKUP(A1206,Prices!A:A,Prices!D:D),IF('Flow Indicator Parts List'!$D$2="US$",_xlfn.XLOOKUP(CurrencyModifier!A1206,Prices!A:A,Prices!E:E,"MISSING")))</f>
        <v>5.2110000000000003</v>
      </c>
    </row>
    <row r="1207" spans="1:2">
      <c r="A1207" t="str">
        <f>Prices!A1213</f>
        <v>40437-B5</v>
      </c>
      <c r="B1207" s="470">
        <f>IF('Flow Indicator Parts List'!$D$2="CDN$",_xlfn.XLOOKUP(A1207,Prices!A:A,Prices!D:D),IF('Flow Indicator Parts List'!$D$2="US$",_xlfn.XLOOKUP(CurrencyModifier!A1207,Prices!A:A,Prices!E:E,"MISSING")))</f>
        <v>6.35</v>
      </c>
    </row>
    <row r="1208" spans="1:2">
      <c r="A1208" t="str">
        <f>Prices!A1214</f>
        <v>40437-V5</v>
      </c>
      <c r="B1208" s="470">
        <f>IF('Flow Indicator Parts List'!$D$2="CDN$",_xlfn.XLOOKUP(A1208,Prices!A:A,Prices!D:D),IF('Flow Indicator Parts List'!$D$2="US$",_xlfn.XLOOKUP(CurrencyModifier!A1208,Prices!A:A,Prices!E:E,"MISSING")))</f>
        <v>8.609</v>
      </c>
    </row>
    <row r="1209" spans="1:2">
      <c r="A1209" t="str">
        <f>Prices!A1215</f>
        <v>40440-00</v>
      </c>
      <c r="B1209" s="470">
        <f>IF('Flow Indicator Parts List'!$D$2="CDN$",_xlfn.XLOOKUP(A1209,Prices!A:A,Prices!D:D),IF('Flow Indicator Parts List'!$D$2="US$",_xlfn.XLOOKUP(CurrencyModifier!A1209,Prices!A:A,Prices!E:E,"MISSING")))</f>
        <v>6.165</v>
      </c>
    </row>
    <row r="1210" spans="1:2">
      <c r="A1210" t="str">
        <f>Prices!A1216</f>
        <v>40440-01</v>
      </c>
      <c r="B1210" s="470">
        <f>IF('Flow Indicator Parts List'!$D$2="CDN$",_xlfn.XLOOKUP(A1210,Prices!A:A,Prices!D:D),IF('Flow Indicator Parts List'!$D$2="US$",_xlfn.XLOOKUP(CurrencyModifier!A1210,Prices!A:A,Prices!E:E,"MISSING")))</f>
        <v>5.8860000000000001</v>
      </c>
    </row>
    <row r="1211" spans="1:2">
      <c r="A1211" t="str">
        <f>Prices!A1217</f>
        <v>40440-V0</v>
      </c>
      <c r="B1211" s="470">
        <f>IF('Flow Indicator Parts List'!$D$2="CDN$",_xlfn.XLOOKUP(A1211,Prices!A:A,Prices!D:D),IF('Flow Indicator Parts List'!$D$2="US$",_xlfn.XLOOKUP(CurrencyModifier!A1211,Prices!A:A,Prices!E:E,"MISSING")))</f>
        <v>8.4600000000000009</v>
      </c>
    </row>
    <row r="1212" spans="1:2">
      <c r="A1212" t="str">
        <f>Prices!A1218</f>
        <v>40441-00</v>
      </c>
      <c r="B1212" s="470">
        <f>IF('Flow Indicator Parts List'!$D$2="CDN$",_xlfn.XLOOKUP(A1212,Prices!A:A,Prices!D:D),IF('Flow Indicator Parts List'!$D$2="US$",_xlfn.XLOOKUP(CurrencyModifier!A1212,Prices!A:A,Prices!E:E,"MISSING")))</f>
        <v>6.165</v>
      </c>
    </row>
    <row r="1213" spans="1:2">
      <c r="A1213" t="str">
        <f>Prices!A1219</f>
        <v>40441-01</v>
      </c>
      <c r="B1213" s="470">
        <f>IF('Flow Indicator Parts List'!$D$2="CDN$",_xlfn.XLOOKUP(A1213,Prices!A:A,Prices!D:D),IF('Flow Indicator Parts List'!$D$2="US$",_xlfn.XLOOKUP(CurrencyModifier!A1213,Prices!A:A,Prices!E:E,"MISSING")))</f>
        <v>5.8860000000000001</v>
      </c>
    </row>
    <row r="1214" spans="1:2">
      <c r="A1214" t="str">
        <f>Prices!A1220</f>
        <v>40441-V0</v>
      </c>
      <c r="B1214" s="470">
        <f>IF('Flow Indicator Parts List'!$D$2="CDN$",_xlfn.XLOOKUP(A1214,Prices!A:A,Prices!D:D),IF('Flow Indicator Parts List'!$D$2="US$",_xlfn.XLOOKUP(CurrencyModifier!A1214,Prices!A:A,Prices!E:E,"MISSING")))</f>
        <v>8.4600000000000009</v>
      </c>
    </row>
    <row r="1215" spans="1:2">
      <c r="A1215" t="str">
        <f>Prices!A1221</f>
        <v>40443-005</v>
      </c>
      <c r="B1215" s="470">
        <f>IF('Flow Indicator Parts List'!$D$2="CDN$",_xlfn.XLOOKUP(A1215,Prices!A:A,Prices!D:D),IF('Flow Indicator Parts List'!$D$2="US$",_xlfn.XLOOKUP(CurrencyModifier!A1215,Prices!A:A,Prices!E:E,"MISSING")))</f>
        <v>18.215</v>
      </c>
    </row>
    <row r="1216" spans="1:2">
      <c r="A1216" t="str">
        <f>Prices!A1222</f>
        <v>40443-007</v>
      </c>
      <c r="B1216" s="470">
        <f>IF('Flow Indicator Parts List'!$D$2="CDN$",_xlfn.XLOOKUP(A1216,Prices!A:A,Prices!D:D),IF('Flow Indicator Parts List'!$D$2="US$",_xlfn.XLOOKUP(CurrencyModifier!A1216,Prices!A:A,Prices!E:E,"MISSING")))</f>
        <v>18.215</v>
      </c>
    </row>
    <row r="1217" spans="1:2">
      <c r="A1217" t="str">
        <f>Prices!A1223</f>
        <v>40443-01</v>
      </c>
      <c r="B1217" s="470">
        <f>IF('Flow Indicator Parts List'!$D$2="CDN$",_xlfn.XLOOKUP(A1217,Prices!A:A,Prices!D:D),IF('Flow Indicator Parts List'!$D$2="US$",_xlfn.XLOOKUP(CurrencyModifier!A1217,Prices!A:A,Prices!E:E,"MISSING")))</f>
        <v>16.559000000000001</v>
      </c>
    </row>
    <row r="1218" spans="1:2">
      <c r="A1218" t="str">
        <f>Prices!A1224</f>
        <v>40443-015</v>
      </c>
      <c r="B1218" s="470">
        <f>IF('Flow Indicator Parts List'!$D$2="CDN$",_xlfn.XLOOKUP(A1218,Prices!A:A,Prices!D:D),IF('Flow Indicator Parts List'!$D$2="US$",_xlfn.XLOOKUP(CurrencyModifier!A1218,Prices!A:A,Prices!E:E,"MISSING")))</f>
        <v>16.559000000000001</v>
      </c>
    </row>
    <row r="1219" spans="1:2">
      <c r="A1219" t="str">
        <f>Prices!A1225</f>
        <v>40443-02</v>
      </c>
      <c r="B1219" s="470">
        <f>IF('Flow Indicator Parts List'!$D$2="CDN$",_xlfn.XLOOKUP(A1219,Prices!A:A,Prices!D:D),IF('Flow Indicator Parts List'!$D$2="US$",_xlfn.XLOOKUP(CurrencyModifier!A1219,Prices!A:A,Prices!E:E,"MISSING")))</f>
        <v>16.559000000000001</v>
      </c>
    </row>
    <row r="1220" spans="1:2">
      <c r="A1220" t="str">
        <f>Prices!A1226</f>
        <v>40443-025</v>
      </c>
      <c r="B1220" s="470">
        <f>IF('Flow Indicator Parts List'!$D$2="CDN$",_xlfn.XLOOKUP(A1220,Prices!A:A,Prices!D:D),IF('Flow Indicator Parts List'!$D$2="US$",_xlfn.XLOOKUP(CurrencyModifier!A1220,Prices!A:A,Prices!E:E,"MISSING")))</f>
        <v>16.559000000000001</v>
      </c>
    </row>
    <row r="1221" spans="1:2">
      <c r="A1221" t="str">
        <f>Prices!A1227</f>
        <v>40443-03</v>
      </c>
      <c r="B1221" s="470">
        <f>IF('Flow Indicator Parts List'!$D$2="CDN$",_xlfn.XLOOKUP(A1221,Prices!A:A,Prices!D:D),IF('Flow Indicator Parts List'!$D$2="US$",_xlfn.XLOOKUP(CurrencyModifier!A1221,Prices!A:A,Prices!E:E,"MISSING")))</f>
        <v>16.559000000000001</v>
      </c>
    </row>
    <row r="1222" spans="1:2">
      <c r="A1222" t="str">
        <f>Prices!A1228</f>
        <v>40443-035</v>
      </c>
      <c r="B1222" s="470">
        <f>IF('Flow Indicator Parts List'!$D$2="CDN$",_xlfn.XLOOKUP(A1222,Prices!A:A,Prices!D:D),IF('Flow Indicator Parts List'!$D$2="US$",_xlfn.XLOOKUP(CurrencyModifier!A1222,Prices!A:A,Prices!E:E,"MISSING")))</f>
        <v>16.559000000000001</v>
      </c>
    </row>
    <row r="1223" spans="1:2">
      <c r="A1223" t="str">
        <f>Prices!A1229</f>
        <v>40443-04</v>
      </c>
      <c r="B1223" s="470">
        <f>IF('Flow Indicator Parts List'!$D$2="CDN$",_xlfn.XLOOKUP(A1223,Prices!A:A,Prices!D:D),IF('Flow Indicator Parts List'!$D$2="US$",_xlfn.XLOOKUP(CurrencyModifier!A1223,Prices!A:A,Prices!E:E,"MISSING")))</f>
        <v>16.559000000000001</v>
      </c>
    </row>
    <row r="1224" spans="1:2">
      <c r="A1224" t="str">
        <f>Prices!A1230</f>
        <v>40443-05</v>
      </c>
      <c r="B1224" s="470">
        <f>IF('Flow Indicator Parts List'!$D$2="CDN$",_xlfn.XLOOKUP(A1224,Prices!A:A,Prices!D:D),IF('Flow Indicator Parts List'!$D$2="US$",_xlfn.XLOOKUP(CurrencyModifier!A1224,Prices!A:A,Prices!E:E,"MISSING")))</f>
        <v>16.559000000000001</v>
      </c>
    </row>
    <row r="1225" spans="1:2">
      <c r="A1225" t="str">
        <f>Prices!A1231</f>
        <v>40443-06</v>
      </c>
      <c r="B1225" s="470">
        <f>IF('Flow Indicator Parts List'!$D$2="CDN$",_xlfn.XLOOKUP(A1225,Prices!A:A,Prices!D:D),IF('Flow Indicator Parts List'!$D$2="US$",_xlfn.XLOOKUP(CurrencyModifier!A1225,Prices!A:A,Prices!E:E,"MISSING")))</f>
        <v>16.559000000000001</v>
      </c>
    </row>
    <row r="1226" spans="1:2">
      <c r="A1226" t="str">
        <f>Prices!A1232</f>
        <v>40443-08</v>
      </c>
      <c r="B1226" s="470">
        <f>IF('Flow Indicator Parts List'!$D$2="CDN$",_xlfn.XLOOKUP(A1226,Prices!A:A,Prices!D:D),IF('Flow Indicator Parts List'!$D$2="US$",_xlfn.XLOOKUP(CurrencyModifier!A1226,Prices!A:A,Prices!E:E,"MISSING")))</f>
        <v>16.559000000000001</v>
      </c>
    </row>
    <row r="1227" spans="1:2">
      <c r="A1227" t="str">
        <f>Prices!A1233</f>
        <v>40443-10</v>
      </c>
      <c r="B1227" s="470">
        <f>IF('Flow Indicator Parts List'!$D$2="CDN$",_xlfn.XLOOKUP(A1227,Prices!A:A,Prices!D:D),IF('Flow Indicator Parts List'!$D$2="US$",_xlfn.XLOOKUP(CurrencyModifier!A1227,Prices!A:A,Prices!E:E,"MISSING")))</f>
        <v>16.559000000000001</v>
      </c>
    </row>
    <row r="1228" spans="1:2">
      <c r="A1228" t="str">
        <f>Prices!A1234</f>
        <v>40443-125</v>
      </c>
      <c r="B1228" s="470">
        <f>IF('Flow Indicator Parts List'!$D$2="CDN$",_xlfn.XLOOKUP(A1228,Prices!A:A,Prices!D:D),IF('Flow Indicator Parts List'!$D$2="US$",_xlfn.XLOOKUP(CurrencyModifier!A1228,Prices!A:A,Prices!E:E,"MISSING")))</f>
        <v>16.559000000000001</v>
      </c>
    </row>
    <row r="1229" spans="1:2">
      <c r="A1229" t="str">
        <f>Prices!A1235</f>
        <v>40443-15</v>
      </c>
      <c r="B1229" s="470">
        <f>IF('Flow Indicator Parts List'!$D$2="CDN$",_xlfn.XLOOKUP(A1229,Prices!A:A,Prices!D:D),IF('Flow Indicator Parts List'!$D$2="US$",_xlfn.XLOOKUP(CurrencyModifier!A1229,Prices!A:A,Prices!E:E,"MISSING")))</f>
        <v>16.559000000000001</v>
      </c>
    </row>
    <row r="1230" spans="1:2">
      <c r="A1230" t="str">
        <f>Prices!A1236</f>
        <v>40443-20</v>
      </c>
      <c r="B1230" s="470">
        <f>IF('Flow Indicator Parts List'!$D$2="CDN$",_xlfn.XLOOKUP(A1230,Prices!A:A,Prices!D:D),IF('Flow Indicator Parts List'!$D$2="US$",_xlfn.XLOOKUP(CurrencyModifier!A1230,Prices!A:A,Prices!E:E,"MISSING")))</f>
        <v>16.559000000000001</v>
      </c>
    </row>
    <row r="1231" spans="1:2">
      <c r="A1231" t="str">
        <f>Prices!A1237</f>
        <v>40443-25</v>
      </c>
      <c r="B1231" s="470">
        <f>IF('Flow Indicator Parts List'!$D$2="CDN$",_xlfn.XLOOKUP(A1231,Prices!A:A,Prices!D:D),IF('Flow Indicator Parts List'!$D$2="US$",_xlfn.XLOOKUP(CurrencyModifier!A1231,Prices!A:A,Prices!E:E,"MISSING")))</f>
        <v>16.559000000000001</v>
      </c>
    </row>
    <row r="1232" spans="1:2">
      <c r="A1232" t="str">
        <f>Prices!A1238</f>
        <v>40443-30</v>
      </c>
      <c r="B1232" s="470">
        <f>IF('Flow Indicator Parts List'!$D$2="CDN$",_xlfn.XLOOKUP(A1232,Prices!A:A,Prices!D:D),IF('Flow Indicator Parts List'!$D$2="US$",_xlfn.XLOOKUP(CurrencyModifier!A1232,Prices!A:A,Prices!E:E,"MISSING")))</f>
        <v>16.559000000000001</v>
      </c>
    </row>
    <row r="1233" spans="1:2">
      <c r="A1233" t="str">
        <f>Prices!A1239</f>
        <v>40443-40</v>
      </c>
      <c r="B1233" s="470">
        <f>IF('Flow Indicator Parts List'!$D$2="CDN$",_xlfn.XLOOKUP(A1233,Prices!A:A,Prices!D:D),IF('Flow Indicator Parts List'!$D$2="US$",_xlfn.XLOOKUP(CurrencyModifier!A1233,Prices!A:A,Prices!E:E,"MISSING")))</f>
        <v>16.559000000000001</v>
      </c>
    </row>
    <row r="1234" spans="1:2">
      <c r="A1234" t="str">
        <f>Prices!A1240</f>
        <v>40443-50</v>
      </c>
      <c r="B1234" s="470">
        <f>IF('Flow Indicator Parts List'!$D$2="CDN$",_xlfn.XLOOKUP(A1234,Prices!A:A,Prices!D:D),IF('Flow Indicator Parts List'!$D$2="US$",_xlfn.XLOOKUP(CurrencyModifier!A1234,Prices!A:A,Prices!E:E,"MISSING")))</f>
        <v>16.559000000000001</v>
      </c>
    </row>
    <row r="1235" spans="1:2">
      <c r="A1235" t="str">
        <f>Prices!A1241</f>
        <v>40443-60</v>
      </c>
      <c r="B1235" s="470">
        <f>IF('Flow Indicator Parts List'!$D$2="CDN$",_xlfn.XLOOKUP(A1235,Prices!A:A,Prices!D:D),IF('Flow Indicator Parts List'!$D$2="US$",_xlfn.XLOOKUP(CurrencyModifier!A1235,Prices!A:A,Prices!E:E,"MISSING")))</f>
        <v>10.58</v>
      </c>
    </row>
    <row r="1236" spans="1:2">
      <c r="A1236" t="str">
        <f>Prices!A1242</f>
        <v>40443-61</v>
      </c>
      <c r="B1236" s="470">
        <f>IF('Flow Indicator Parts List'!$D$2="CDN$",_xlfn.XLOOKUP(A1236,Prices!A:A,Prices!D:D),IF('Flow Indicator Parts List'!$D$2="US$",_xlfn.XLOOKUP(CurrencyModifier!A1236,Prices!A:A,Prices!E:E,"MISSING")))</f>
        <v>10.58</v>
      </c>
    </row>
    <row r="1237" spans="1:2">
      <c r="A1237" t="str">
        <f>Prices!A1243</f>
        <v>40443-62</v>
      </c>
      <c r="B1237" s="470">
        <f>IF('Flow Indicator Parts List'!$D$2="CDN$",_xlfn.XLOOKUP(A1237,Prices!A:A,Prices!D:D),IF('Flow Indicator Parts List'!$D$2="US$",_xlfn.XLOOKUP(CurrencyModifier!A1237,Prices!A:A,Prices!E:E,"MISSING")))</f>
        <v>8.9239999999999995</v>
      </c>
    </row>
    <row r="1238" spans="1:2">
      <c r="A1238" t="str">
        <f>Prices!A1244</f>
        <v>40443-63</v>
      </c>
      <c r="B1238" s="470">
        <f>IF('Flow Indicator Parts List'!$D$2="CDN$",_xlfn.XLOOKUP(A1238,Prices!A:A,Prices!D:D),IF('Flow Indicator Parts List'!$D$2="US$",_xlfn.XLOOKUP(CurrencyModifier!A1238,Prices!A:A,Prices!E:E,"MISSING")))</f>
        <v>8.9239999999999995</v>
      </c>
    </row>
    <row r="1239" spans="1:2">
      <c r="A1239" t="str">
        <f>Prices!A1245</f>
        <v>40443-64</v>
      </c>
      <c r="B1239" s="470">
        <f>IF('Flow Indicator Parts List'!$D$2="CDN$",_xlfn.XLOOKUP(A1239,Prices!A:A,Prices!D:D),IF('Flow Indicator Parts List'!$D$2="US$",_xlfn.XLOOKUP(CurrencyModifier!A1239,Prices!A:A,Prices!E:E,"MISSING")))</f>
        <v>8.9239999999999995</v>
      </c>
    </row>
    <row r="1240" spans="1:2">
      <c r="A1240" t="str">
        <f>Prices!A1246</f>
        <v>40443-65</v>
      </c>
      <c r="B1240" s="470">
        <f>IF('Flow Indicator Parts List'!$D$2="CDN$",_xlfn.XLOOKUP(A1240,Prices!A:A,Prices!D:D),IF('Flow Indicator Parts List'!$D$2="US$",_xlfn.XLOOKUP(CurrencyModifier!A1240,Prices!A:A,Prices!E:E,"MISSING")))</f>
        <v>8.9239999999999995</v>
      </c>
    </row>
    <row r="1241" spans="1:2">
      <c r="A1241" t="str">
        <f>Prices!A1247</f>
        <v>40443-66</v>
      </c>
      <c r="B1241" s="470">
        <f>IF('Flow Indicator Parts List'!$D$2="CDN$",_xlfn.XLOOKUP(A1241,Prices!A:A,Prices!D:D),IF('Flow Indicator Parts List'!$D$2="US$",_xlfn.XLOOKUP(CurrencyModifier!A1241,Prices!A:A,Prices!E:E,"MISSING")))</f>
        <v>8.9239999999999995</v>
      </c>
    </row>
    <row r="1242" spans="1:2">
      <c r="A1242" t="str">
        <f>Prices!A1248</f>
        <v>40443-67</v>
      </c>
      <c r="B1242" s="470">
        <f>IF('Flow Indicator Parts List'!$D$2="CDN$",_xlfn.XLOOKUP(A1242,Prices!A:A,Prices!D:D),IF('Flow Indicator Parts List'!$D$2="US$",_xlfn.XLOOKUP(CurrencyModifier!A1242,Prices!A:A,Prices!E:E,"MISSING")))</f>
        <v>8.9239999999999995</v>
      </c>
    </row>
    <row r="1243" spans="1:2">
      <c r="A1243" t="str">
        <f>Prices!A1249</f>
        <v>40443-68</v>
      </c>
      <c r="B1243" s="470">
        <f>IF('Flow Indicator Parts List'!$D$2="CDN$",_xlfn.XLOOKUP(A1243,Prices!A:A,Prices!D:D),IF('Flow Indicator Parts List'!$D$2="US$",_xlfn.XLOOKUP(CurrencyModifier!A1243,Prices!A:A,Prices!E:E,"MISSING")))</f>
        <v>8.9239999999999995</v>
      </c>
    </row>
    <row r="1244" spans="1:2">
      <c r="A1244" t="str">
        <f>Prices!A1250</f>
        <v>40443-69</v>
      </c>
      <c r="B1244" s="470">
        <f>IF('Flow Indicator Parts List'!$D$2="CDN$",_xlfn.XLOOKUP(A1244,Prices!A:A,Prices!D:D),IF('Flow Indicator Parts List'!$D$2="US$",_xlfn.XLOOKUP(CurrencyModifier!A1244,Prices!A:A,Prices!E:E,"MISSING")))</f>
        <v>8.9239999999999995</v>
      </c>
    </row>
    <row r="1245" spans="1:2">
      <c r="A1245" t="str">
        <f>Prices!A1251</f>
        <v>40443-70</v>
      </c>
      <c r="B1245" s="470">
        <f>IF('Flow Indicator Parts List'!$D$2="CDN$",_xlfn.XLOOKUP(A1245,Prices!A:A,Prices!D:D),IF('Flow Indicator Parts List'!$D$2="US$",_xlfn.XLOOKUP(CurrencyModifier!A1245,Prices!A:A,Prices!E:E,"MISSING")))</f>
        <v>8.9239999999999995</v>
      </c>
    </row>
    <row r="1246" spans="1:2">
      <c r="A1246" t="str">
        <f>Prices!A1252</f>
        <v>40443-71</v>
      </c>
      <c r="B1246" s="470">
        <f>IF('Flow Indicator Parts List'!$D$2="CDN$",_xlfn.XLOOKUP(A1246,Prices!A:A,Prices!D:D),IF('Flow Indicator Parts List'!$D$2="US$",_xlfn.XLOOKUP(CurrencyModifier!A1246,Prices!A:A,Prices!E:E,"MISSING")))</f>
        <v>8.9239999999999995</v>
      </c>
    </row>
    <row r="1247" spans="1:2">
      <c r="A1247" t="str">
        <f>Prices!A1253</f>
        <v>40443-72</v>
      </c>
      <c r="B1247" s="470">
        <f>IF('Flow Indicator Parts List'!$D$2="CDN$",_xlfn.XLOOKUP(A1247,Prices!A:A,Prices!D:D),IF('Flow Indicator Parts List'!$D$2="US$",_xlfn.XLOOKUP(CurrencyModifier!A1247,Prices!A:A,Prices!E:E,"MISSING")))</f>
        <v>8.9239999999999995</v>
      </c>
    </row>
    <row r="1248" spans="1:2">
      <c r="A1248" t="str">
        <f>Prices!A1254</f>
        <v>40443-73</v>
      </c>
      <c r="B1248" s="470">
        <f>IF('Flow Indicator Parts List'!$D$2="CDN$",_xlfn.XLOOKUP(A1248,Prices!A:A,Prices!D:D),IF('Flow Indicator Parts List'!$D$2="US$",_xlfn.XLOOKUP(CurrencyModifier!A1248,Prices!A:A,Prices!E:E,"MISSING")))</f>
        <v>8.9239999999999995</v>
      </c>
    </row>
    <row r="1249" spans="1:2">
      <c r="A1249" t="str">
        <f>Prices!A1255</f>
        <v>40443-74</v>
      </c>
      <c r="B1249" s="470">
        <f>IF('Flow Indicator Parts List'!$D$2="CDN$",_xlfn.XLOOKUP(A1249,Prices!A:A,Prices!D:D),IF('Flow Indicator Parts List'!$D$2="US$",_xlfn.XLOOKUP(CurrencyModifier!A1249,Prices!A:A,Prices!E:E,"MISSING")))</f>
        <v>8.9239999999999995</v>
      </c>
    </row>
    <row r="1250" spans="1:2">
      <c r="A1250" t="str">
        <f>Prices!A1256</f>
        <v>40443-75</v>
      </c>
      <c r="B1250" s="470">
        <f>IF('Flow Indicator Parts List'!$D$2="CDN$",_xlfn.XLOOKUP(A1250,Prices!A:A,Prices!D:D),IF('Flow Indicator Parts List'!$D$2="US$",_xlfn.XLOOKUP(CurrencyModifier!A1250,Prices!A:A,Prices!E:E,"MISSING")))</f>
        <v>8.9239999999999995</v>
      </c>
    </row>
    <row r="1251" spans="1:2">
      <c r="A1251" t="str">
        <f>Prices!A1257</f>
        <v>40443-76</v>
      </c>
      <c r="B1251" s="470">
        <f>IF('Flow Indicator Parts List'!$D$2="CDN$",_xlfn.XLOOKUP(A1251,Prices!A:A,Prices!D:D),IF('Flow Indicator Parts List'!$D$2="US$",_xlfn.XLOOKUP(CurrencyModifier!A1251,Prices!A:A,Prices!E:E,"MISSING")))</f>
        <v>8.9239999999999995</v>
      </c>
    </row>
    <row r="1252" spans="1:2">
      <c r="A1252" t="str">
        <f>Prices!A1258</f>
        <v>40443-80</v>
      </c>
      <c r="B1252" s="470">
        <f>IF('Flow Indicator Parts List'!$D$2="CDN$",_xlfn.XLOOKUP(A1252,Prices!A:A,Prices!D:D),IF('Flow Indicator Parts List'!$D$2="US$",_xlfn.XLOOKUP(CurrencyModifier!A1252,Prices!A:A,Prices!E:E,"MISSING")))</f>
        <v>1.4990000000000001</v>
      </c>
    </row>
    <row r="1253" spans="1:2">
      <c r="A1253" t="str">
        <f>Prices!A1259</f>
        <v>40443-81</v>
      </c>
      <c r="B1253" s="470">
        <f>IF('Flow Indicator Parts List'!$D$2="CDN$",_xlfn.XLOOKUP(A1253,Prices!A:A,Prices!D:D),IF('Flow Indicator Parts List'!$D$2="US$",_xlfn.XLOOKUP(CurrencyModifier!A1253,Prices!A:A,Prices!E:E,"MISSING")))</f>
        <v>1.4990000000000001</v>
      </c>
    </row>
    <row r="1254" spans="1:2">
      <c r="A1254" t="str">
        <f>Prices!A1260</f>
        <v>40443-82</v>
      </c>
      <c r="B1254" s="470">
        <f>IF('Flow Indicator Parts List'!$D$2="CDN$",_xlfn.XLOOKUP(A1254,Prices!A:A,Prices!D:D),IF('Flow Indicator Parts List'!$D$2="US$",_xlfn.XLOOKUP(CurrencyModifier!A1254,Prices!A:A,Prices!E:E,"MISSING")))</f>
        <v>1.4990000000000001</v>
      </c>
    </row>
    <row r="1255" spans="1:2">
      <c r="A1255" t="str">
        <f>Prices!A1261</f>
        <v>40443-83</v>
      </c>
      <c r="B1255" s="470">
        <f>IF('Flow Indicator Parts List'!$D$2="CDN$",_xlfn.XLOOKUP(A1255,Prices!A:A,Prices!D:D),IF('Flow Indicator Parts List'!$D$2="US$",_xlfn.XLOOKUP(CurrencyModifier!A1255,Prices!A:A,Prices!E:E,"MISSING")))</f>
        <v>1.4990000000000001</v>
      </c>
    </row>
    <row r="1256" spans="1:2">
      <c r="A1256" t="str">
        <f>Prices!A1262</f>
        <v>40443-84</v>
      </c>
      <c r="B1256" s="470">
        <f>IF('Flow Indicator Parts List'!$D$2="CDN$",_xlfn.XLOOKUP(A1256,Prices!A:A,Prices!D:D),IF('Flow Indicator Parts List'!$D$2="US$",_xlfn.XLOOKUP(CurrencyModifier!A1256,Prices!A:A,Prices!E:E,"MISSING")))</f>
        <v>1.4990000000000001</v>
      </c>
    </row>
    <row r="1257" spans="1:2">
      <c r="A1257" t="str">
        <f>Prices!A1263</f>
        <v>40443-85</v>
      </c>
      <c r="B1257" s="470">
        <f>IF('Flow Indicator Parts List'!$D$2="CDN$",_xlfn.XLOOKUP(A1257,Prices!A:A,Prices!D:D),IF('Flow Indicator Parts List'!$D$2="US$",_xlfn.XLOOKUP(CurrencyModifier!A1257,Prices!A:A,Prices!E:E,"MISSING")))</f>
        <v>1.4990000000000001</v>
      </c>
    </row>
    <row r="1258" spans="1:2">
      <c r="A1258" t="str">
        <f>Prices!A1264</f>
        <v>40443-86</v>
      </c>
      <c r="B1258" s="470">
        <f>IF('Flow Indicator Parts List'!$D$2="CDN$",_xlfn.XLOOKUP(A1258,Prices!A:A,Prices!D:D),IF('Flow Indicator Parts List'!$D$2="US$",_xlfn.XLOOKUP(CurrencyModifier!A1258,Prices!A:A,Prices!E:E,"MISSING")))</f>
        <v>1.4990000000000001</v>
      </c>
    </row>
    <row r="1259" spans="1:2">
      <c r="A1259" t="str">
        <f>Prices!A1265</f>
        <v>40443-87</v>
      </c>
      <c r="B1259" s="470">
        <f>IF('Flow Indicator Parts List'!$D$2="CDN$",_xlfn.XLOOKUP(A1259,Prices!A:A,Prices!D:D),IF('Flow Indicator Parts List'!$D$2="US$",_xlfn.XLOOKUP(CurrencyModifier!A1259,Prices!A:A,Prices!E:E,"MISSING")))</f>
        <v>1.4990000000000001</v>
      </c>
    </row>
    <row r="1260" spans="1:2">
      <c r="A1260" t="str">
        <f>Prices!A1266</f>
        <v>40443-88</v>
      </c>
      <c r="B1260" s="470">
        <f>IF('Flow Indicator Parts List'!$D$2="CDN$",_xlfn.XLOOKUP(A1260,Prices!A:A,Prices!D:D),IF('Flow Indicator Parts List'!$D$2="US$",_xlfn.XLOOKUP(CurrencyModifier!A1260,Prices!A:A,Prices!E:E,"MISSING")))</f>
        <v>1.4990000000000001</v>
      </c>
    </row>
    <row r="1261" spans="1:2">
      <c r="A1261" t="str">
        <f>Prices!A1267</f>
        <v>40443-89</v>
      </c>
      <c r="B1261" s="470">
        <f>IF('Flow Indicator Parts List'!$D$2="CDN$",_xlfn.XLOOKUP(A1261,Prices!A:A,Prices!D:D),IF('Flow Indicator Parts List'!$D$2="US$",_xlfn.XLOOKUP(CurrencyModifier!A1261,Prices!A:A,Prices!E:E,"MISSING")))</f>
        <v>1.4990000000000001</v>
      </c>
    </row>
    <row r="1262" spans="1:2">
      <c r="A1262" t="str">
        <f>Prices!A1268</f>
        <v>40443-90</v>
      </c>
      <c r="B1262" s="470">
        <f>IF('Flow Indicator Parts List'!$D$2="CDN$",_xlfn.XLOOKUP(A1262,Prices!A:A,Prices!D:D),IF('Flow Indicator Parts List'!$D$2="US$",_xlfn.XLOOKUP(CurrencyModifier!A1262,Prices!A:A,Prices!E:E,"MISSING")))</f>
        <v>1.4990000000000001</v>
      </c>
    </row>
    <row r="1263" spans="1:2">
      <c r="A1263" t="str">
        <f>Prices!A1269</f>
        <v>40443-91</v>
      </c>
      <c r="B1263" s="470">
        <f>IF('Flow Indicator Parts List'!$D$2="CDN$",_xlfn.XLOOKUP(A1263,Prices!A:A,Prices!D:D),IF('Flow Indicator Parts List'!$D$2="US$",_xlfn.XLOOKUP(CurrencyModifier!A1263,Prices!A:A,Prices!E:E,"MISSING")))</f>
        <v>1.4990000000000001</v>
      </c>
    </row>
    <row r="1264" spans="1:2">
      <c r="A1264" t="str">
        <f>Prices!A1270</f>
        <v>40443-92</v>
      </c>
      <c r="B1264" s="470">
        <f>IF('Flow Indicator Parts List'!$D$2="CDN$",_xlfn.XLOOKUP(A1264,Prices!A:A,Prices!D:D),IF('Flow Indicator Parts List'!$D$2="US$",_xlfn.XLOOKUP(CurrencyModifier!A1264,Prices!A:A,Prices!E:E,"MISSING")))</f>
        <v>1.4990000000000001</v>
      </c>
    </row>
    <row r="1265" spans="1:2">
      <c r="A1265" t="str">
        <f>Prices!A1271</f>
        <v>40443-93</v>
      </c>
      <c r="B1265" s="470">
        <f>IF('Flow Indicator Parts List'!$D$2="CDN$",_xlfn.XLOOKUP(A1265,Prices!A:A,Prices!D:D),IF('Flow Indicator Parts List'!$D$2="US$",_xlfn.XLOOKUP(CurrencyModifier!A1265,Prices!A:A,Prices!E:E,"MISSING")))</f>
        <v>1.4990000000000001</v>
      </c>
    </row>
    <row r="1266" spans="1:2">
      <c r="A1266" t="str">
        <f>Prices!A1272</f>
        <v>40443-94</v>
      </c>
      <c r="B1266" s="470">
        <f>IF('Flow Indicator Parts List'!$D$2="CDN$",_xlfn.XLOOKUP(A1266,Prices!A:A,Prices!D:D),IF('Flow Indicator Parts List'!$D$2="US$",_xlfn.XLOOKUP(CurrencyModifier!A1266,Prices!A:A,Prices!E:E,"MISSING")))</f>
        <v>1.4990000000000001</v>
      </c>
    </row>
    <row r="1267" spans="1:2">
      <c r="A1267" t="str">
        <f>Prices!A1273</f>
        <v>40443-95</v>
      </c>
      <c r="B1267" s="470">
        <f>IF('Flow Indicator Parts List'!$D$2="CDN$",_xlfn.XLOOKUP(A1267,Prices!A:A,Prices!D:D),IF('Flow Indicator Parts List'!$D$2="US$",_xlfn.XLOOKUP(CurrencyModifier!A1267,Prices!A:A,Prices!E:E,"MISSING")))</f>
        <v>1.4990000000000001</v>
      </c>
    </row>
    <row r="1268" spans="1:2">
      <c r="A1268" t="str">
        <f>Prices!A1274</f>
        <v>40450-00</v>
      </c>
      <c r="B1268" s="470">
        <f>IF('Flow Indicator Parts List'!$D$2="CDN$",_xlfn.XLOOKUP(A1268,Prices!A:A,Prices!D:D),IF('Flow Indicator Parts List'!$D$2="US$",_xlfn.XLOOKUP(CurrencyModifier!A1268,Prices!A:A,Prices!E:E,"MISSING")))</f>
        <v>7.7919999999999998</v>
      </c>
    </row>
    <row r="1269" spans="1:2">
      <c r="A1269" t="str">
        <f>Prices!A1275</f>
        <v>40450-01</v>
      </c>
      <c r="B1269" s="470">
        <f>IF('Flow Indicator Parts List'!$D$2="CDN$",_xlfn.XLOOKUP(A1269,Prices!A:A,Prices!D:D),IF('Flow Indicator Parts List'!$D$2="US$",_xlfn.XLOOKUP(CurrencyModifier!A1269,Prices!A:A,Prices!E:E,"MISSING")))</f>
        <v>2.5049999999999999</v>
      </c>
    </row>
    <row r="1270" spans="1:2">
      <c r="A1270" t="str">
        <f>Prices!A1276</f>
        <v>40451-00</v>
      </c>
      <c r="B1270" s="470">
        <f>IF('Flow Indicator Parts List'!$D$2="CDN$",_xlfn.XLOOKUP(A1270,Prices!A:A,Prices!D:D),IF('Flow Indicator Parts List'!$D$2="US$",_xlfn.XLOOKUP(CurrencyModifier!A1270,Prices!A:A,Prices!E:E,"MISSING")))</f>
        <v>7.7919999999999998</v>
      </c>
    </row>
    <row r="1271" spans="1:2">
      <c r="A1271" t="str">
        <f>Prices!A1277</f>
        <v>40451-01</v>
      </c>
      <c r="B1271" s="470">
        <f>IF('Flow Indicator Parts List'!$D$2="CDN$",_xlfn.XLOOKUP(A1271,Prices!A:A,Prices!D:D),IF('Flow Indicator Parts List'!$D$2="US$",_xlfn.XLOOKUP(CurrencyModifier!A1271,Prices!A:A,Prices!E:E,"MISSING")))</f>
        <v>2.5049999999999999</v>
      </c>
    </row>
    <row r="1272" spans="1:2">
      <c r="A1272" t="str">
        <f>Prices!A1278</f>
        <v>40452-00</v>
      </c>
      <c r="B1272" s="470">
        <f>IF('Flow Indicator Parts List'!$D$2="CDN$",_xlfn.XLOOKUP(A1272,Prices!A:A,Prices!D:D),IF('Flow Indicator Parts List'!$D$2="US$",_xlfn.XLOOKUP(CurrencyModifier!A1272,Prices!A:A,Prices!E:E,"MISSING")))</f>
        <v>7.7919999999999998</v>
      </c>
    </row>
    <row r="1273" spans="1:2">
      <c r="A1273" t="str">
        <f>Prices!A1279</f>
        <v>40452-01</v>
      </c>
      <c r="B1273" s="470">
        <f>IF('Flow Indicator Parts List'!$D$2="CDN$",_xlfn.XLOOKUP(A1273,Prices!A:A,Prices!D:D),IF('Flow Indicator Parts List'!$D$2="US$",_xlfn.XLOOKUP(CurrencyModifier!A1273,Prices!A:A,Prices!E:E,"MISSING")))</f>
        <v>2.5049999999999999</v>
      </c>
    </row>
    <row r="1274" spans="1:2">
      <c r="A1274" t="str">
        <f>Prices!A1280</f>
        <v>40453-00</v>
      </c>
      <c r="B1274" s="470">
        <f>IF('Flow Indicator Parts List'!$D$2="CDN$",_xlfn.XLOOKUP(A1274,Prices!A:A,Prices!D:D),IF('Flow Indicator Parts List'!$D$2="US$",_xlfn.XLOOKUP(CurrencyModifier!A1274,Prices!A:A,Prices!E:E,"MISSING")))</f>
        <v>7.7919999999999998</v>
      </c>
    </row>
    <row r="1275" spans="1:2">
      <c r="A1275" t="str">
        <f>Prices!A1281</f>
        <v>40453-01</v>
      </c>
      <c r="B1275" s="470">
        <f>IF('Flow Indicator Parts List'!$D$2="CDN$",_xlfn.XLOOKUP(A1275,Prices!A:A,Prices!D:D),IF('Flow Indicator Parts List'!$D$2="US$",_xlfn.XLOOKUP(CurrencyModifier!A1275,Prices!A:A,Prices!E:E,"MISSING")))</f>
        <v>2.5049999999999999</v>
      </c>
    </row>
    <row r="1276" spans="1:2">
      <c r="A1276" t="str">
        <f>Prices!A1282</f>
        <v>40454-00</v>
      </c>
      <c r="B1276" s="470">
        <f>IF('Flow Indicator Parts List'!$D$2="CDN$",_xlfn.XLOOKUP(A1276,Prices!A:A,Prices!D:D),IF('Flow Indicator Parts List'!$D$2="US$",_xlfn.XLOOKUP(CurrencyModifier!A1276,Prices!A:A,Prices!E:E,"MISSING")))</f>
        <v>7.7919999999999998</v>
      </c>
    </row>
    <row r="1277" spans="1:2">
      <c r="A1277" t="str">
        <f>Prices!A1283</f>
        <v>40454-01</v>
      </c>
      <c r="B1277" s="470">
        <f>IF('Flow Indicator Parts List'!$D$2="CDN$",_xlfn.XLOOKUP(A1277,Prices!A:A,Prices!D:D),IF('Flow Indicator Parts List'!$D$2="US$",_xlfn.XLOOKUP(CurrencyModifier!A1277,Prices!A:A,Prices!E:E,"MISSING")))</f>
        <v>2.5049999999999999</v>
      </c>
    </row>
    <row r="1278" spans="1:2">
      <c r="A1278" t="str">
        <f>Prices!A1284</f>
        <v>40460-00</v>
      </c>
      <c r="B1278" s="470">
        <f>IF('Flow Indicator Parts List'!$D$2="CDN$",_xlfn.XLOOKUP(A1278,Prices!A:A,Prices!D:D),IF('Flow Indicator Parts List'!$D$2="US$",_xlfn.XLOOKUP(CurrencyModifier!A1278,Prices!A:A,Prices!E:E,"MISSING")))</f>
        <v>10.074999999999999</v>
      </c>
    </row>
    <row r="1279" spans="1:2">
      <c r="A1279" t="str">
        <f>Prices!A1285</f>
        <v>40460-01</v>
      </c>
      <c r="B1279" s="470">
        <f>IF('Flow Indicator Parts List'!$D$2="CDN$",_xlfn.XLOOKUP(A1279,Prices!A:A,Prices!D:D),IF('Flow Indicator Parts List'!$D$2="US$",_xlfn.XLOOKUP(CurrencyModifier!A1279,Prices!A:A,Prices!E:E,"MISSING")))</f>
        <v>2.5049999999999999</v>
      </c>
    </row>
    <row r="1280" spans="1:2">
      <c r="A1280" t="str">
        <f>Prices!A1286</f>
        <v>40461-00</v>
      </c>
      <c r="B1280" s="470">
        <f>IF('Flow Indicator Parts List'!$D$2="CDN$",_xlfn.XLOOKUP(A1280,Prices!A:A,Prices!D:D),IF('Flow Indicator Parts List'!$D$2="US$",_xlfn.XLOOKUP(CurrencyModifier!A1280,Prices!A:A,Prices!E:E,"MISSING")))</f>
        <v>10.074999999999999</v>
      </c>
    </row>
    <row r="1281" spans="1:2">
      <c r="A1281" t="str">
        <f>Prices!A1287</f>
        <v>40461-01</v>
      </c>
      <c r="B1281" s="470">
        <f>IF('Flow Indicator Parts List'!$D$2="CDN$",_xlfn.XLOOKUP(A1281,Prices!A:A,Prices!D:D),IF('Flow Indicator Parts List'!$D$2="US$",_xlfn.XLOOKUP(CurrencyModifier!A1281,Prices!A:A,Prices!E:E,"MISSING")))</f>
        <v>2.5049999999999999</v>
      </c>
    </row>
    <row r="1282" spans="1:2">
      <c r="A1282" t="str">
        <f>Prices!A1288</f>
        <v>40462-00</v>
      </c>
      <c r="B1282" s="470">
        <f>IF('Flow Indicator Parts List'!$D$2="CDN$",_xlfn.XLOOKUP(A1282,Prices!A:A,Prices!D:D),IF('Flow Indicator Parts List'!$D$2="US$",_xlfn.XLOOKUP(CurrencyModifier!A1282,Prices!A:A,Prices!E:E,"MISSING")))</f>
        <v>10.074999999999999</v>
      </c>
    </row>
    <row r="1283" spans="1:2">
      <c r="A1283" t="str">
        <f>Prices!A1289</f>
        <v>40462-01</v>
      </c>
      <c r="B1283" s="470">
        <f>IF('Flow Indicator Parts List'!$D$2="CDN$",_xlfn.XLOOKUP(A1283,Prices!A:A,Prices!D:D),IF('Flow Indicator Parts List'!$D$2="US$",_xlfn.XLOOKUP(CurrencyModifier!A1283,Prices!A:A,Prices!E:E,"MISSING")))</f>
        <v>2.5049999999999999</v>
      </c>
    </row>
    <row r="1284" spans="1:2">
      <c r="A1284" t="str">
        <f>Prices!A1290</f>
        <v>40463-00</v>
      </c>
      <c r="B1284" s="470">
        <f>IF('Flow Indicator Parts List'!$D$2="CDN$",_xlfn.XLOOKUP(A1284,Prices!A:A,Prices!D:D),IF('Flow Indicator Parts List'!$D$2="US$",_xlfn.XLOOKUP(CurrencyModifier!A1284,Prices!A:A,Prices!E:E,"MISSING")))</f>
        <v>10.074999999999999</v>
      </c>
    </row>
    <row r="1285" spans="1:2">
      <c r="A1285" t="str">
        <f>Prices!A1291</f>
        <v>40463-01</v>
      </c>
      <c r="B1285" s="470">
        <f>IF('Flow Indicator Parts List'!$D$2="CDN$",_xlfn.XLOOKUP(A1285,Prices!A:A,Prices!D:D),IF('Flow Indicator Parts List'!$D$2="US$",_xlfn.XLOOKUP(CurrencyModifier!A1285,Prices!A:A,Prices!E:E,"MISSING")))</f>
        <v>2.5049999999999999</v>
      </c>
    </row>
    <row r="1286" spans="1:2">
      <c r="A1286" t="str">
        <f>Prices!A1292</f>
        <v>40464-00</v>
      </c>
      <c r="B1286" s="470">
        <f>IF('Flow Indicator Parts List'!$D$2="CDN$",_xlfn.XLOOKUP(A1286,Prices!A:A,Prices!D:D),IF('Flow Indicator Parts List'!$D$2="US$",_xlfn.XLOOKUP(CurrencyModifier!A1286,Prices!A:A,Prices!E:E,"MISSING")))</f>
        <v>10.074999999999999</v>
      </c>
    </row>
    <row r="1287" spans="1:2">
      <c r="A1287" t="str">
        <f>Prices!A1293</f>
        <v>40464-01</v>
      </c>
      <c r="B1287" s="470">
        <f>IF('Flow Indicator Parts List'!$D$2="CDN$",_xlfn.XLOOKUP(A1287,Prices!A:A,Prices!D:D),IF('Flow Indicator Parts List'!$D$2="US$",_xlfn.XLOOKUP(CurrencyModifier!A1287,Prices!A:A,Prices!E:E,"MISSING")))</f>
        <v>2.5049999999999999</v>
      </c>
    </row>
    <row r="1288" spans="1:2">
      <c r="A1288" t="str">
        <f>Prices!A1294</f>
        <v>40470-00</v>
      </c>
      <c r="B1288" s="470">
        <f>IF('Flow Indicator Parts List'!$D$2="CDN$",_xlfn.XLOOKUP(A1288,Prices!A:A,Prices!D:D),IF('Flow Indicator Parts List'!$D$2="US$",_xlfn.XLOOKUP(CurrencyModifier!A1288,Prices!A:A,Prices!E:E,"MISSING")))</f>
        <v>13.054</v>
      </c>
    </row>
    <row r="1289" spans="1:2">
      <c r="A1289" t="str">
        <f>Prices!A1295</f>
        <v>40470-01</v>
      </c>
      <c r="B1289" s="470">
        <f>IF('Flow Indicator Parts List'!$D$2="CDN$",_xlfn.XLOOKUP(A1289,Prices!A:A,Prices!D:D),IF('Flow Indicator Parts List'!$D$2="US$",_xlfn.XLOOKUP(CurrencyModifier!A1289,Prices!A:A,Prices!E:E,"MISSING")))</f>
        <v>2.226</v>
      </c>
    </row>
    <row r="1290" spans="1:2">
      <c r="A1290" t="str">
        <f>Prices!A1296</f>
        <v>40471-00</v>
      </c>
      <c r="B1290" s="470">
        <f>IF('Flow Indicator Parts List'!$D$2="CDN$",_xlfn.XLOOKUP(A1290,Prices!A:A,Prices!D:D),IF('Flow Indicator Parts List'!$D$2="US$",_xlfn.XLOOKUP(CurrencyModifier!A1290,Prices!A:A,Prices!E:E,"MISSING")))</f>
        <v>17.937999999999999</v>
      </c>
    </row>
    <row r="1291" spans="1:2">
      <c r="A1291" t="str">
        <f>Prices!A1297</f>
        <v>40471-01</v>
      </c>
      <c r="B1291" s="470">
        <f>IF('Flow Indicator Parts List'!$D$2="CDN$",_xlfn.XLOOKUP(A1291,Prices!A:A,Prices!D:D),IF('Flow Indicator Parts List'!$D$2="US$",_xlfn.XLOOKUP(CurrencyModifier!A1291,Prices!A:A,Prices!E:E,"MISSING")))</f>
        <v>2.226</v>
      </c>
    </row>
    <row r="1292" spans="1:2">
      <c r="A1292" t="str">
        <f>Prices!A1298</f>
        <v>40472-00</v>
      </c>
      <c r="B1292" s="470">
        <f>IF('Flow Indicator Parts List'!$D$2="CDN$",_xlfn.XLOOKUP(A1292,Prices!A:A,Prices!D:D),IF('Flow Indicator Parts List'!$D$2="US$",_xlfn.XLOOKUP(CurrencyModifier!A1292,Prices!A:A,Prices!E:E,"MISSING")))</f>
        <v>13.054</v>
      </c>
    </row>
    <row r="1293" spans="1:2">
      <c r="A1293" t="str">
        <f>Prices!A1299</f>
        <v>40473-00</v>
      </c>
      <c r="B1293" s="470">
        <f>IF('Flow Indicator Parts List'!$D$2="CDN$",_xlfn.XLOOKUP(A1293,Prices!A:A,Prices!D:D),IF('Flow Indicator Parts List'!$D$2="US$",_xlfn.XLOOKUP(CurrencyModifier!A1293,Prices!A:A,Prices!E:E,"MISSING")))</f>
        <v>17.937999999999999</v>
      </c>
    </row>
    <row r="1294" spans="1:2">
      <c r="A1294" t="str">
        <f>Prices!A1300</f>
        <v>40497-00</v>
      </c>
      <c r="B1294" s="470">
        <f>IF('Flow Indicator Parts List'!$D$2="CDN$",_xlfn.XLOOKUP(A1294,Prices!A:A,Prices!D:D),IF('Flow Indicator Parts List'!$D$2="US$",_xlfn.XLOOKUP(CurrencyModifier!A1294,Prices!A:A,Prices!E:E,"MISSING")))</f>
        <v>2.7679999999999998</v>
      </c>
    </row>
    <row r="1295" spans="1:2">
      <c r="A1295" t="str">
        <f>Prices!A1301</f>
        <v>40498-00</v>
      </c>
      <c r="B1295" s="470">
        <f>IF('Flow Indicator Parts List'!$D$2="CDN$",_xlfn.XLOOKUP(A1295,Prices!A:A,Prices!D:D),IF('Flow Indicator Parts List'!$D$2="US$",_xlfn.XLOOKUP(CurrencyModifier!A1295,Prices!A:A,Prices!E:E,"MISSING")))</f>
        <v>2.7679999999999998</v>
      </c>
    </row>
    <row r="1296" spans="1:2">
      <c r="A1296" t="str">
        <f>Prices!A1302</f>
        <v>40500-00</v>
      </c>
      <c r="B1296" s="470">
        <f>IF('Flow Indicator Parts List'!$D$2="CDN$",_xlfn.XLOOKUP(A1296,Prices!A:A,Prices!D:D),IF('Flow Indicator Parts List'!$D$2="US$",_xlfn.XLOOKUP(CurrencyModifier!A1296,Prices!A:A,Prices!E:E,"MISSING")))</f>
        <v>9.9220000000000006</v>
      </c>
    </row>
    <row r="1297" spans="1:2">
      <c r="A1297" t="str">
        <f>Prices!A1303</f>
        <v>40500-01</v>
      </c>
      <c r="B1297" s="470">
        <f>IF('Flow Indicator Parts List'!$D$2="CDN$",_xlfn.XLOOKUP(A1297,Prices!A:A,Prices!D:D),IF('Flow Indicator Parts List'!$D$2="US$",_xlfn.XLOOKUP(CurrencyModifier!A1297,Prices!A:A,Prices!E:E,"MISSING")))</f>
        <v>4.7050000000000001</v>
      </c>
    </row>
    <row r="1298" spans="1:2">
      <c r="A1298" t="str">
        <f>Prices!A1304</f>
        <v>40500-MS</v>
      </c>
      <c r="B1298" s="470">
        <f>IF('Flow Indicator Parts List'!$D$2="CDN$",_xlfn.XLOOKUP(A1298,Prices!A:A,Prices!D:D),IF('Flow Indicator Parts List'!$D$2="US$",_xlfn.XLOOKUP(CurrencyModifier!A1298,Prices!A:A,Prices!E:E,"MISSING")))</f>
        <v>11.601000000000001</v>
      </c>
    </row>
    <row r="1299" spans="1:2">
      <c r="A1299" t="str">
        <f>Prices!A1305</f>
        <v>40500-NM</v>
      </c>
      <c r="B1299" s="470">
        <f>IF('Flow Indicator Parts List'!$D$2="CDN$",_xlfn.XLOOKUP(A1299,Prices!A:A,Prices!D:D),IF('Flow Indicator Parts List'!$D$2="US$",_xlfn.XLOOKUP(CurrencyModifier!A1299,Prices!A:A,Prices!E:E,"MISSING")))</f>
        <v>4.7050000000000001</v>
      </c>
    </row>
    <row r="1300" spans="1:2">
      <c r="A1300" t="str">
        <f>Prices!A1306</f>
        <v>40500-P4</v>
      </c>
      <c r="B1300" s="470">
        <f>IF('Flow Indicator Parts List'!$D$2="CDN$",_xlfn.XLOOKUP(A1300,Prices!A:A,Prices!D:D),IF('Flow Indicator Parts List'!$D$2="US$",_xlfn.XLOOKUP(CurrencyModifier!A1300,Prices!A:A,Prices!E:E,"MISSING")))</f>
        <v>9.9109999999999996</v>
      </c>
    </row>
    <row r="1301" spans="1:2">
      <c r="A1301" t="str">
        <f>Prices!A1307</f>
        <v>40500-V0</v>
      </c>
      <c r="B1301" s="470">
        <f>IF('Flow Indicator Parts List'!$D$2="CDN$",_xlfn.XLOOKUP(A1301,Prices!A:A,Prices!D:D),IF('Flow Indicator Parts List'!$D$2="US$",_xlfn.XLOOKUP(CurrencyModifier!A1301,Prices!A:A,Prices!E:E,"MISSING")))</f>
        <v>12.84</v>
      </c>
    </row>
    <row r="1302" spans="1:2">
      <c r="A1302" t="str">
        <f>Prices!A1308</f>
        <v>40500-VP4</v>
      </c>
      <c r="B1302" s="470">
        <f>IF('Flow Indicator Parts List'!$D$2="CDN$",_xlfn.XLOOKUP(A1302,Prices!A:A,Prices!D:D),IF('Flow Indicator Parts List'!$D$2="US$",_xlfn.XLOOKUP(CurrencyModifier!A1302,Prices!A:A,Prices!E:E,"MISSING")))</f>
        <v>12.84</v>
      </c>
    </row>
    <row r="1303" spans="1:2">
      <c r="A1303" t="str">
        <f>Prices!A1309</f>
        <v>40501-00</v>
      </c>
      <c r="B1303" s="470">
        <f>IF('Flow Indicator Parts List'!$D$2="CDN$",_xlfn.XLOOKUP(A1303,Prices!A:A,Prices!D:D),IF('Flow Indicator Parts List'!$D$2="US$",_xlfn.XLOOKUP(CurrencyModifier!A1303,Prices!A:A,Prices!E:E,"MISSING")))</f>
        <v>9.9220000000000006</v>
      </c>
    </row>
    <row r="1304" spans="1:2">
      <c r="A1304" t="str">
        <f>Prices!A1310</f>
        <v>40501-01</v>
      </c>
      <c r="B1304" s="470">
        <f>IF('Flow Indicator Parts List'!$D$2="CDN$",_xlfn.XLOOKUP(A1304,Prices!A:A,Prices!D:D),IF('Flow Indicator Parts List'!$D$2="US$",_xlfn.XLOOKUP(CurrencyModifier!A1304,Prices!A:A,Prices!E:E,"MISSING")))</f>
        <v>4.7050000000000001</v>
      </c>
    </row>
    <row r="1305" spans="1:2">
      <c r="A1305" t="str">
        <f>Prices!A1311</f>
        <v>40501-MS</v>
      </c>
      <c r="B1305" s="470">
        <f>IF('Flow Indicator Parts List'!$D$2="CDN$",_xlfn.XLOOKUP(A1305,Prices!A:A,Prices!D:D),IF('Flow Indicator Parts List'!$D$2="US$",_xlfn.XLOOKUP(CurrencyModifier!A1305,Prices!A:A,Prices!E:E,"MISSING")))</f>
        <v>11.601000000000001</v>
      </c>
    </row>
    <row r="1306" spans="1:2">
      <c r="A1306" t="str">
        <f>Prices!A1312</f>
        <v>40501-NM</v>
      </c>
      <c r="B1306" s="470">
        <f>IF('Flow Indicator Parts List'!$D$2="CDN$",_xlfn.XLOOKUP(A1306,Prices!A:A,Prices!D:D),IF('Flow Indicator Parts List'!$D$2="US$",_xlfn.XLOOKUP(CurrencyModifier!A1306,Prices!A:A,Prices!E:E,"MISSING")))</f>
        <v>4.7050000000000001</v>
      </c>
    </row>
    <row r="1307" spans="1:2">
      <c r="A1307" t="str">
        <f>Prices!A1313</f>
        <v>40501-P4</v>
      </c>
      <c r="B1307" s="470">
        <f>IF('Flow Indicator Parts List'!$D$2="CDN$",_xlfn.XLOOKUP(A1307,Prices!A:A,Prices!D:D),IF('Flow Indicator Parts List'!$D$2="US$",_xlfn.XLOOKUP(CurrencyModifier!A1307,Prices!A:A,Prices!E:E,"MISSING")))</f>
        <v>9.9220000000000006</v>
      </c>
    </row>
    <row r="1308" spans="1:2">
      <c r="A1308" t="str">
        <f>Prices!A1314</f>
        <v>40501-V0</v>
      </c>
      <c r="B1308" s="470">
        <f>IF('Flow Indicator Parts List'!$D$2="CDN$",_xlfn.XLOOKUP(A1308,Prices!A:A,Prices!D:D),IF('Flow Indicator Parts List'!$D$2="US$",_xlfn.XLOOKUP(CurrencyModifier!A1308,Prices!A:A,Prices!E:E,"MISSING")))</f>
        <v>12.837</v>
      </c>
    </row>
    <row r="1309" spans="1:2">
      <c r="A1309" t="str">
        <f>Prices!A1315</f>
        <v>40501-VP4</v>
      </c>
      <c r="B1309" s="470">
        <f>IF('Flow Indicator Parts List'!$D$2="CDN$",_xlfn.XLOOKUP(A1309,Prices!A:A,Prices!D:D),IF('Flow Indicator Parts List'!$D$2="US$",_xlfn.XLOOKUP(CurrencyModifier!A1309,Prices!A:A,Prices!E:E,"MISSING")))</f>
        <v>12.837</v>
      </c>
    </row>
    <row r="1310" spans="1:2">
      <c r="A1310" t="str">
        <f>Prices!A1316</f>
        <v>40502-00</v>
      </c>
      <c r="B1310" s="470">
        <f>IF('Flow Indicator Parts List'!$D$2="CDN$",_xlfn.XLOOKUP(A1310,Prices!A:A,Prices!D:D),IF('Flow Indicator Parts List'!$D$2="US$",_xlfn.XLOOKUP(CurrencyModifier!A1310,Prices!A:A,Prices!E:E,"MISSING")))</f>
        <v>13.414999999999999</v>
      </c>
    </row>
    <row r="1311" spans="1:2">
      <c r="A1311" t="str">
        <f>Prices!A1317</f>
        <v>40502-01</v>
      </c>
      <c r="B1311" s="470">
        <f>IF('Flow Indicator Parts List'!$D$2="CDN$",_xlfn.XLOOKUP(A1311,Prices!A:A,Prices!D:D),IF('Flow Indicator Parts List'!$D$2="US$",_xlfn.XLOOKUP(CurrencyModifier!A1311,Prices!A:A,Prices!E:E,"MISSING")))</f>
        <v>3.246</v>
      </c>
    </row>
    <row r="1312" spans="1:2">
      <c r="A1312" t="str">
        <f>Prices!A1318</f>
        <v>40502-MS</v>
      </c>
      <c r="B1312" s="470">
        <f>IF('Flow Indicator Parts List'!$D$2="CDN$",_xlfn.XLOOKUP(A1312,Prices!A:A,Prices!D:D),IF('Flow Indicator Parts List'!$D$2="US$",_xlfn.XLOOKUP(CurrencyModifier!A1312,Prices!A:A,Prices!E:E,"MISSING")))</f>
        <v>15.093999999999999</v>
      </c>
    </row>
    <row r="1313" spans="1:2">
      <c r="A1313" t="str">
        <f>Prices!A1319</f>
        <v>40502-NM</v>
      </c>
      <c r="B1313" s="470">
        <f>IF('Flow Indicator Parts List'!$D$2="CDN$",_xlfn.XLOOKUP(A1313,Prices!A:A,Prices!D:D),IF('Flow Indicator Parts List'!$D$2="US$",_xlfn.XLOOKUP(CurrencyModifier!A1313,Prices!A:A,Prices!E:E,"MISSING")))</f>
        <v>8.2040000000000006</v>
      </c>
    </row>
    <row r="1314" spans="1:2">
      <c r="A1314" t="str">
        <f>Prices!A1320</f>
        <v>40502-P4</v>
      </c>
      <c r="B1314" s="470">
        <f>IF('Flow Indicator Parts List'!$D$2="CDN$",_xlfn.XLOOKUP(A1314,Prices!A:A,Prices!D:D),IF('Flow Indicator Parts List'!$D$2="US$",_xlfn.XLOOKUP(CurrencyModifier!A1314,Prices!A:A,Prices!E:E,"MISSING")))</f>
        <v>13.414999999999999</v>
      </c>
    </row>
    <row r="1315" spans="1:2">
      <c r="A1315" t="str">
        <f>Prices!A1321</f>
        <v>40502-V0</v>
      </c>
      <c r="B1315" s="470">
        <f>IF('Flow Indicator Parts List'!$D$2="CDN$",_xlfn.XLOOKUP(A1315,Prices!A:A,Prices!D:D),IF('Flow Indicator Parts List'!$D$2="US$",_xlfn.XLOOKUP(CurrencyModifier!A1315,Prices!A:A,Prices!E:E,"MISSING")))</f>
        <v>17.89</v>
      </c>
    </row>
    <row r="1316" spans="1:2">
      <c r="A1316" t="str">
        <f>Prices!A1322</f>
        <v>40502-VP4</v>
      </c>
      <c r="B1316" s="470">
        <f>IF('Flow Indicator Parts List'!$D$2="CDN$",_xlfn.XLOOKUP(A1316,Prices!A:A,Prices!D:D),IF('Flow Indicator Parts List'!$D$2="US$",_xlfn.XLOOKUP(CurrencyModifier!A1316,Prices!A:A,Prices!E:E,"MISSING")))</f>
        <v>17.89</v>
      </c>
    </row>
    <row r="1317" spans="1:2">
      <c r="A1317" t="str">
        <f>Prices!A1323</f>
        <v>40505-00</v>
      </c>
      <c r="B1317" s="470">
        <f>IF('Flow Indicator Parts List'!$D$2="CDN$",_xlfn.XLOOKUP(A1317,Prices!A:A,Prices!D:D),IF('Flow Indicator Parts List'!$D$2="US$",_xlfn.XLOOKUP(CurrencyModifier!A1317,Prices!A:A,Prices!E:E,"MISSING")))</f>
        <v>19.838999999999999</v>
      </c>
    </row>
    <row r="1318" spans="1:2">
      <c r="A1318" t="str">
        <f>Prices!A1324</f>
        <v>40506-00</v>
      </c>
      <c r="B1318" s="470">
        <f>IF('Flow Indicator Parts List'!$D$2="CDN$",_xlfn.XLOOKUP(A1318,Prices!A:A,Prices!D:D),IF('Flow Indicator Parts List'!$D$2="US$",_xlfn.XLOOKUP(CurrencyModifier!A1318,Prices!A:A,Prices!E:E,"MISSING")))</f>
        <v>19.838999999999999</v>
      </c>
    </row>
    <row r="1319" spans="1:2">
      <c r="A1319" t="str">
        <f>Prices!A1325</f>
        <v>40510-00</v>
      </c>
      <c r="B1319" s="470">
        <f>IF('Flow Indicator Parts List'!$D$2="CDN$",_xlfn.XLOOKUP(A1319,Prices!A:A,Prices!D:D),IF('Flow Indicator Parts List'!$D$2="US$",_xlfn.XLOOKUP(CurrencyModifier!A1319,Prices!A:A,Prices!E:E,"MISSING")))</f>
        <v>6.915</v>
      </c>
    </row>
    <row r="1320" spans="1:2">
      <c r="A1320" t="str">
        <f>Prices!A1326</f>
        <v>40510-01</v>
      </c>
      <c r="B1320" s="470">
        <f>IF('Flow Indicator Parts List'!$D$2="CDN$",_xlfn.XLOOKUP(A1320,Prices!A:A,Prices!D:D),IF('Flow Indicator Parts List'!$D$2="US$",_xlfn.XLOOKUP(CurrencyModifier!A1320,Prices!A:A,Prices!E:E,"MISSING")))</f>
        <v>5.673</v>
      </c>
    </row>
    <row r="1321" spans="1:2">
      <c r="A1321" t="str">
        <f>Prices!A1327</f>
        <v>40510-S0</v>
      </c>
      <c r="B1321" s="470">
        <f>IF('Flow Indicator Parts List'!$D$2="CDN$",_xlfn.XLOOKUP(A1321,Prices!A:A,Prices!D:D),IF('Flow Indicator Parts List'!$D$2="US$",_xlfn.XLOOKUP(CurrencyModifier!A1321,Prices!A:A,Prices!E:E,"MISSING")))</f>
        <v>6.9160000000000004</v>
      </c>
    </row>
    <row r="1322" spans="1:2">
      <c r="A1322" t="str">
        <f>Prices!A1328</f>
        <v>40511-00</v>
      </c>
      <c r="B1322" s="470">
        <f>IF('Flow Indicator Parts List'!$D$2="CDN$",_xlfn.XLOOKUP(A1322,Prices!A:A,Prices!D:D),IF('Flow Indicator Parts List'!$D$2="US$",_xlfn.XLOOKUP(CurrencyModifier!A1322,Prices!A:A,Prices!E:E,"MISSING")))</f>
        <v>6.9160000000000004</v>
      </c>
    </row>
    <row r="1323" spans="1:2">
      <c r="A1323" t="str">
        <f>Prices!A1329</f>
        <v>40511-01</v>
      </c>
      <c r="B1323" s="470">
        <f>IF('Flow Indicator Parts List'!$D$2="CDN$",_xlfn.XLOOKUP(A1323,Prices!A:A,Prices!D:D),IF('Flow Indicator Parts List'!$D$2="US$",_xlfn.XLOOKUP(CurrencyModifier!A1323,Prices!A:A,Prices!E:E,"MISSING")))</f>
        <v>5.6740000000000004</v>
      </c>
    </row>
    <row r="1324" spans="1:2">
      <c r="A1324" t="str">
        <f>Prices!A1330</f>
        <v>40511-S0</v>
      </c>
      <c r="B1324" s="470">
        <f>IF('Flow Indicator Parts List'!$D$2="CDN$",_xlfn.XLOOKUP(A1324,Prices!A:A,Prices!D:D),IF('Flow Indicator Parts List'!$D$2="US$",_xlfn.XLOOKUP(CurrencyModifier!A1324,Prices!A:A,Prices!E:E,"MISSING")))</f>
        <v>6.9160000000000004</v>
      </c>
    </row>
    <row r="1325" spans="1:2">
      <c r="A1325" t="str">
        <f>Prices!A1331</f>
        <v>40512-00</v>
      </c>
      <c r="B1325" s="470">
        <f>IF('Flow Indicator Parts List'!$D$2="CDN$",_xlfn.XLOOKUP(A1325,Prices!A:A,Prices!D:D),IF('Flow Indicator Parts List'!$D$2="US$",_xlfn.XLOOKUP(CurrencyModifier!A1325,Prices!A:A,Prices!E:E,"MISSING")))</f>
        <v>9.3140000000000001</v>
      </c>
    </row>
    <row r="1326" spans="1:2">
      <c r="A1326" t="str">
        <f>Prices!A1332</f>
        <v>40512-01</v>
      </c>
      <c r="B1326" s="470">
        <f>IF('Flow Indicator Parts List'!$D$2="CDN$",_xlfn.XLOOKUP(A1326,Prices!A:A,Prices!D:D),IF('Flow Indicator Parts List'!$D$2="US$",_xlfn.XLOOKUP(CurrencyModifier!A1326,Prices!A:A,Prices!E:E,"MISSING")))</f>
        <v>8.0719999999999992</v>
      </c>
    </row>
    <row r="1327" spans="1:2">
      <c r="A1327" t="str">
        <f>Prices!A1333</f>
        <v>40516-00</v>
      </c>
      <c r="B1327" s="470">
        <f>IF('Flow Indicator Parts List'!$D$2="CDN$",_xlfn.XLOOKUP(A1327,Prices!A:A,Prices!D:D),IF('Flow Indicator Parts List'!$D$2="US$",_xlfn.XLOOKUP(CurrencyModifier!A1327,Prices!A:A,Prices!E:E,"MISSING")))</f>
        <v>17.823</v>
      </c>
    </row>
    <row r="1328" spans="1:2">
      <c r="A1328" t="str">
        <f>Prices!A1334</f>
        <v>40516-S0</v>
      </c>
      <c r="B1328" s="470">
        <f>IF('Flow Indicator Parts List'!$D$2="CDN$",_xlfn.XLOOKUP(A1328,Prices!A:A,Prices!D:D),IF('Flow Indicator Parts List'!$D$2="US$",_xlfn.XLOOKUP(CurrencyModifier!A1328,Prices!A:A,Prices!E:E,"MISSING")))</f>
        <v>17.823</v>
      </c>
    </row>
    <row r="1329" spans="1:2">
      <c r="A1329" t="str">
        <f>Prices!A1335</f>
        <v>40517-00</v>
      </c>
      <c r="B1329" s="470">
        <f>IF('Flow Indicator Parts List'!$D$2="CDN$",_xlfn.XLOOKUP(A1329,Prices!A:A,Prices!D:D),IF('Flow Indicator Parts List'!$D$2="US$",_xlfn.XLOOKUP(CurrencyModifier!A1329,Prices!A:A,Prices!E:E,"MISSING")))</f>
        <v>17.823</v>
      </c>
    </row>
    <row r="1330" spans="1:2">
      <c r="A1330" t="str">
        <f>Prices!A1336</f>
        <v>40517-S0</v>
      </c>
      <c r="B1330" s="470">
        <f>IF('Flow Indicator Parts List'!$D$2="CDN$",_xlfn.XLOOKUP(A1330,Prices!A:A,Prices!D:D),IF('Flow Indicator Parts List'!$D$2="US$",_xlfn.XLOOKUP(CurrencyModifier!A1330,Prices!A:A,Prices!E:E,"MISSING")))</f>
        <v>17.823</v>
      </c>
    </row>
    <row r="1331" spans="1:2">
      <c r="A1331" t="str">
        <f>Prices!A1337</f>
        <v>40518-00</v>
      </c>
      <c r="B1331" s="470">
        <f>IF('Flow Indicator Parts List'!$D$2="CDN$",_xlfn.XLOOKUP(A1331,Prices!A:A,Prices!D:D),IF('Flow Indicator Parts List'!$D$2="US$",_xlfn.XLOOKUP(CurrencyModifier!A1331,Prices!A:A,Prices!E:E,"MISSING")))</f>
        <v>20.22</v>
      </c>
    </row>
    <row r="1332" spans="1:2">
      <c r="A1332" t="str">
        <f>Prices!A1338</f>
        <v>40526-00</v>
      </c>
      <c r="B1332" s="470">
        <f>IF('Flow Indicator Parts List'!$D$2="CDN$",_xlfn.XLOOKUP(A1332,Prices!A:A,Prices!D:D),IF('Flow Indicator Parts List'!$D$2="US$",_xlfn.XLOOKUP(CurrencyModifier!A1332,Prices!A:A,Prices!E:E,"MISSING")))</f>
        <v>21.928000000000001</v>
      </c>
    </row>
    <row r="1333" spans="1:2">
      <c r="A1333" t="str">
        <f>Prices!A1339</f>
        <v>40526-S0</v>
      </c>
      <c r="B1333" s="470">
        <f>IF('Flow Indicator Parts List'!$D$2="CDN$",_xlfn.XLOOKUP(A1333,Prices!A:A,Prices!D:D),IF('Flow Indicator Parts List'!$D$2="US$",_xlfn.XLOOKUP(CurrencyModifier!A1333,Prices!A:A,Prices!E:E,"MISSING")))</f>
        <v>21.928000000000001</v>
      </c>
    </row>
    <row r="1334" spans="1:2">
      <c r="A1334" t="str">
        <f>Prices!A1340</f>
        <v>40527-00</v>
      </c>
      <c r="B1334" s="470">
        <f>IF('Flow Indicator Parts List'!$D$2="CDN$",_xlfn.XLOOKUP(A1334,Prices!A:A,Prices!D:D),IF('Flow Indicator Parts List'!$D$2="US$",_xlfn.XLOOKUP(CurrencyModifier!A1334,Prices!A:A,Prices!E:E,"MISSING")))</f>
        <v>21.928000000000001</v>
      </c>
    </row>
    <row r="1335" spans="1:2">
      <c r="A1335" t="str">
        <f>Prices!A1341</f>
        <v>40527-S0</v>
      </c>
      <c r="B1335" s="470">
        <f>IF('Flow Indicator Parts List'!$D$2="CDN$",_xlfn.XLOOKUP(A1335,Prices!A:A,Prices!D:D),IF('Flow Indicator Parts List'!$D$2="US$",_xlfn.XLOOKUP(CurrencyModifier!A1335,Prices!A:A,Prices!E:E,"MISSING")))</f>
        <v>21.928000000000001</v>
      </c>
    </row>
    <row r="1336" spans="1:2">
      <c r="A1336" t="str">
        <f>Prices!A1342</f>
        <v>40528-00</v>
      </c>
      <c r="B1336" s="470">
        <f>IF('Flow Indicator Parts List'!$D$2="CDN$",_xlfn.XLOOKUP(A1336,Prices!A:A,Prices!D:D),IF('Flow Indicator Parts List'!$D$2="US$",_xlfn.XLOOKUP(CurrencyModifier!A1336,Prices!A:A,Prices!E:E,"MISSING")))</f>
        <v>24.326000000000001</v>
      </c>
    </row>
    <row r="1337" spans="1:2">
      <c r="A1337" t="str">
        <f>Prices!A1343</f>
        <v>40550-SS</v>
      </c>
      <c r="B1337" s="470">
        <f>IF('Flow Indicator Parts List'!$D$2="CDN$",_xlfn.XLOOKUP(A1337,Prices!A:A,Prices!D:D),IF('Flow Indicator Parts List'!$D$2="US$",_xlfn.XLOOKUP(CurrencyModifier!A1337,Prices!A:A,Prices!E:E,"MISSING")))</f>
        <v>32.450000000000003</v>
      </c>
    </row>
    <row r="1338" spans="1:2">
      <c r="A1338" t="str">
        <f>Prices!A1344</f>
        <v>40551-SS</v>
      </c>
      <c r="B1338" s="470">
        <f>IF('Flow Indicator Parts List'!$D$2="CDN$",_xlfn.XLOOKUP(A1338,Prices!A:A,Prices!D:D),IF('Flow Indicator Parts List'!$D$2="US$",_xlfn.XLOOKUP(CurrencyModifier!A1338,Prices!A:A,Prices!E:E,"MISSING")))</f>
        <v>32.450000000000003</v>
      </c>
    </row>
    <row r="1339" spans="1:2">
      <c r="A1339" t="str">
        <f>Prices!A1345</f>
        <v>40552-SS</v>
      </c>
      <c r="B1339" s="470">
        <f>IF('Flow Indicator Parts List'!$D$2="CDN$",_xlfn.XLOOKUP(A1339,Prices!A:A,Prices!D:D),IF('Flow Indicator Parts List'!$D$2="US$",_xlfn.XLOOKUP(CurrencyModifier!A1339,Prices!A:A,Prices!E:E,"MISSING")))</f>
        <v>32.450000000000003</v>
      </c>
    </row>
    <row r="1340" spans="1:2">
      <c r="A1340" t="str">
        <f>Prices!A1346</f>
        <v>40553-SS</v>
      </c>
      <c r="B1340" s="470">
        <f>IF('Flow Indicator Parts List'!$D$2="CDN$",_xlfn.XLOOKUP(A1340,Prices!A:A,Prices!D:D),IF('Flow Indicator Parts List'!$D$2="US$",_xlfn.XLOOKUP(CurrencyModifier!A1340,Prices!A:A,Prices!E:E,"MISSING")))</f>
        <v>32.450000000000003</v>
      </c>
    </row>
    <row r="1341" spans="1:2">
      <c r="A1341" t="str">
        <f>Prices!A1347</f>
        <v>40554-SS</v>
      </c>
      <c r="B1341" s="470">
        <f>IF('Flow Indicator Parts List'!$D$2="CDN$",_xlfn.XLOOKUP(A1341,Prices!A:A,Prices!D:D),IF('Flow Indicator Parts List'!$D$2="US$",_xlfn.XLOOKUP(CurrencyModifier!A1341,Prices!A:A,Prices!E:E,"MISSING")))</f>
        <v>32.450000000000003</v>
      </c>
    </row>
    <row r="1342" spans="1:2">
      <c r="A1342" t="str">
        <f>Prices!A1348</f>
        <v>40555-SS</v>
      </c>
      <c r="B1342" s="470">
        <f>IF('Flow Indicator Parts List'!$D$2="CDN$",_xlfn.XLOOKUP(A1342,Prices!A:A,Prices!D:D),IF('Flow Indicator Parts List'!$D$2="US$",_xlfn.XLOOKUP(CurrencyModifier!A1342,Prices!A:A,Prices!E:E,"MISSING")))</f>
        <v>32.450000000000003</v>
      </c>
    </row>
    <row r="1343" spans="1:2">
      <c r="A1343" t="str">
        <f>Prices!A1349</f>
        <v>40611-00</v>
      </c>
      <c r="B1343" s="470">
        <f>IF('Flow Indicator Parts List'!$D$2="CDN$",_xlfn.XLOOKUP(A1343,Prices!A:A,Prices!D:D),IF('Flow Indicator Parts List'!$D$2="US$",_xlfn.XLOOKUP(CurrencyModifier!A1343,Prices!A:A,Prices!E:E,"MISSING")))</f>
        <v>6.915</v>
      </c>
    </row>
    <row r="1344" spans="1:2">
      <c r="A1344" t="str">
        <f>Prices!A1350</f>
        <v>40611-MS</v>
      </c>
      <c r="B1344" s="470">
        <f>IF('Flow Indicator Parts List'!$D$2="CDN$",_xlfn.XLOOKUP(A1344,Prices!A:A,Prices!D:D),IF('Flow Indicator Parts List'!$D$2="US$",_xlfn.XLOOKUP(CurrencyModifier!A1344,Prices!A:A,Prices!E:E,"MISSING")))</f>
        <v>8.5950000000000006</v>
      </c>
    </row>
    <row r="1345" spans="1:2">
      <c r="A1345" t="str">
        <f>Prices!A1351</f>
        <v>40611-NM</v>
      </c>
      <c r="B1345" s="470">
        <f>IF('Flow Indicator Parts List'!$D$2="CDN$",_xlfn.XLOOKUP(A1345,Prices!A:A,Prices!D:D),IF('Flow Indicator Parts List'!$D$2="US$",_xlfn.XLOOKUP(CurrencyModifier!A1345,Prices!A:A,Prices!E:E,"MISSING")))</f>
        <v>6.3250000000000002</v>
      </c>
    </row>
    <row r="1346" spans="1:2">
      <c r="A1346" t="str">
        <f>Prices!A1352</f>
        <v>40612-00</v>
      </c>
      <c r="B1346" s="470">
        <f>IF('Flow Indicator Parts List'!$D$2="CDN$",_xlfn.XLOOKUP(A1346,Prices!A:A,Prices!D:D),IF('Flow Indicator Parts List'!$D$2="US$",_xlfn.XLOOKUP(CurrencyModifier!A1346,Prices!A:A,Prices!E:E,"MISSING")))</f>
        <v>17.823</v>
      </c>
    </row>
    <row r="1347" spans="1:2">
      <c r="A1347" t="str">
        <f>Prices!A1353</f>
        <v>40612-MS</v>
      </c>
      <c r="B1347" s="470">
        <f>IF('Flow Indicator Parts List'!$D$2="CDN$",_xlfn.XLOOKUP(A1347,Prices!A:A,Prices!D:D),IF('Flow Indicator Parts List'!$D$2="US$",_xlfn.XLOOKUP(CurrencyModifier!A1347,Prices!A:A,Prices!E:E,"MISSING")))</f>
        <v>19.501999999999999</v>
      </c>
    </row>
    <row r="1348" spans="1:2">
      <c r="A1348" t="str">
        <f>Prices!A1354</f>
        <v>40612-NM</v>
      </c>
      <c r="B1348" s="470">
        <f>IF('Flow Indicator Parts List'!$D$2="CDN$",_xlfn.XLOOKUP(A1348,Prices!A:A,Prices!D:D),IF('Flow Indicator Parts List'!$D$2="US$",_xlfn.XLOOKUP(CurrencyModifier!A1348,Prices!A:A,Prices!E:E,"MISSING")))</f>
        <v>17.233000000000001</v>
      </c>
    </row>
    <row r="1349" spans="1:2">
      <c r="A1349" t="str">
        <f>Prices!A1355</f>
        <v>40613-00</v>
      </c>
      <c r="B1349" s="470">
        <f>IF('Flow Indicator Parts List'!$D$2="CDN$",_xlfn.XLOOKUP(A1349,Prices!A:A,Prices!D:D),IF('Flow Indicator Parts List'!$D$2="US$",_xlfn.XLOOKUP(CurrencyModifier!A1349,Prices!A:A,Prices!E:E,"MISSING")))</f>
        <v>21.928000000000001</v>
      </c>
    </row>
    <row r="1350" spans="1:2">
      <c r="A1350" t="str">
        <f>Prices!A1356</f>
        <v>40613-MS</v>
      </c>
      <c r="B1350" s="470">
        <f>IF('Flow Indicator Parts List'!$D$2="CDN$",_xlfn.XLOOKUP(A1350,Prices!A:A,Prices!D:D),IF('Flow Indicator Parts List'!$D$2="US$",_xlfn.XLOOKUP(CurrencyModifier!A1350,Prices!A:A,Prices!E:E,"MISSING")))</f>
        <v>23.606000000000002</v>
      </c>
    </row>
    <row r="1351" spans="1:2">
      <c r="A1351" t="str">
        <f>Prices!A1357</f>
        <v>40613-NM</v>
      </c>
      <c r="B1351" s="470">
        <f>IF('Flow Indicator Parts List'!$D$2="CDN$",_xlfn.XLOOKUP(A1351,Prices!A:A,Prices!D:D),IF('Flow Indicator Parts List'!$D$2="US$",_xlfn.XLOOKUP(CurrencyModifier!A1351,Prices!A:A,Prices!E:E,"MISSING")))</f>
        <v>21.335999999999999</v>
      </c>
    </row>
    <row r="1352" spans="1:2">
      <c r="A1352" t="str">
        <f>Prices!A1358</f>
        <v>40621-00</v>
      </c>
      <c r="B1352" s="470">
        <f>IF('Flow Indicator Parts List'!$D$2="CDN$",_xlfn.XLOOKUP(A1352,Prices!A:A,Prices!D:D),IF('Flow Indicator Parts List'!$D$2="US$",_xlfn.XLOOKUP(CurrencyModifier!A1352,Prices!A:A,Prices!E:E,"MISSING")))</f>
        <v>6.915</v>
      </c>
    </row>
    <row r="1353" spans="1:2">
      <c r="A1353" t="str">
        <f>Prices!A1359</f>
        <v>40621-MS</v>
      </c>
      <c r="B1353" s="470">
        <f>IF('Flow Indicator Parts List'!$D$2="CDN$",_xlfn.XLOOKUP(A1353,Prices!A:A,Prices!D:D),IF('Flow Indicator Parts List'!$D$2="US$",_xlfn.XLOOKUP(CurrencyModifier!A1353,Prices!A:A,Prices!E:E,"MISSING")))</f>
        <v>8.5950000000000006</v>
      </c>
    </row>
    <row r="1354" spans="1:2">
      <c r="A1354" t="str">
        <f>Prices!A1360</f>
        <v>40621-NM</v>
      </c>
      <c r="B1354" s="470">
        <f>IF('Flow Indicator Parts List'!$D$2="CDN$",_xlfn.XLOOKUP(A1354,Prices!A:A,Prices!D:D),IF('Flow Indicator Parts List'!$D$2="US$",_xlfn.XLOOKUP(CurrencyModifier!A1354,Prices!A:A,Prices!E:E,"MISSING")))</f>
        <v>6.3250000000000002</v>
      </c>
    </row>
    <row r="1355" spans="1:2">
      <c r="A1355" t="str">
        <f>Prices!A1361</f>
        <v>40621-P4</v>
      </c>
      <c r="B1355" s="470">
        <f>IF('Flow Indicator Parts List'!$D$2="CDN$",_xlfn.XLOOKUP(A1355,Prices!A:A,Prices!D:D),IF('Flow Indicator Parts List'!$D$2="US$",_xlfn.XLOOKUP(CurrencyModifier!A1355,Prices!A:A,Prices!E:E,"MISSING")))</f>
        <v>6.915</v>
      </c>
    </row>
    <row r="1356" spans="1:2">
      <c r="A1356" t="str">
        <f>Prices!A1362</f>
        <v>40621-S0</v>
      </c>
      <c r="B1356" s="470">
        <f>IF('Flow Indicator Parts List'!$D$2="CDN$",_xlfn.XLOOKUP(A1356,Prices!A:A,Prices!D:D),IF('Flow Indicator Parts List'!$D$2="US$",_xlfn.XLOOKUP(CurrencyModifier!A1356,Prices!A:A,Prices!E:E,"MISSING")))</f>
        <v>6.915</v>
      </c>
    </row>
    <row r="1357" spans="1:2">
      <c r="A1357" t="str">
        <f>Prices!A1363</f>
        <v>40622-00</v>
      </c>
      <c r="B1357" s="470">
        <f>IF('Flow Indicator Parts List'!$D$2="CDN$",_xlfn.XLOOKUP(A1357,Prices!A:A,Prices!D:D),IF('Flow Indicator Parts List'!$D$2="US$",_xlfn.XLOOKUP(CurrencyModifier!A1357,Prices!A:A,Prices!E:E,"MISSING")))</f>
        <v>17.823</v>
      </c>
    </row>
    <row r="1358" spans="1:2">
      <c r="A1358" t="str">
        <f>Prices!A1364</f>
        <v>40622-MS</v>
      </c>
      <c r="B1358" s="470">
        <f>IF('Flow Indicator Parts List'!$D$2="CDN$",_xlfn.XLOOKUP(A1358,Prices!A:A,Prices!D:D),IF('Flow Indicator Parts List'!$D$2="US$",_xlfn.XLOOKUP(CurrencyModifier!A1358,Prices!A:A,Prices!E:E,"MISSING")))</f>
        <v>19.501999999999999</v>
      </c>
    </row>
    <row r="1359" spans="1:2">
      <c r="A1359" t="str">
        <f>Prices!A1365</f>
        <v>40622-NM</v>
      </c>
      <c r="B1359" s="470">
        <f>IF('Flow Indicator Parts List'!$D$2="CDN$",_xlfn.XLOOKUP(A1359,Prices!A:A,Prices!D:D),IF('Flow Indicator Parts List'!$D$2="US$",_xlfn.XLOOKUP(CurrencyModifier!A1359,Prices!A:A,Prices!E:E,"MISSING")))</f>
        <v>17.233000000000001</v>
      </c>
    </row>
    <row r="1360" spans="1:2">
      <c r="A1360" t="str">
        <f>Prices!A1366</f>
        <v>40623-00</v>
      </c>
      <c r="B1360" s="470">
        <f>IF('Flow Indicator Parts List'!$D$2="CDN$",_xlfn.XLOOKUP(A1360,Prices!A:A,Prices!D:D),IF('Flow Indicator Parts List'!$D$2="US$",_xlfn.XLOOKUP(CurrencyModifier!A1360,Prices!A:A,Prices!E:E,"MISSING")))</f>
        <v>21.928000000000001</v>
      </c>
    </row>
    <row r="1361" spans="1:2">
      <c r="A1361" t="str">
        <f>Prices!A1367</f>
        <v>40623-MS</v>
      </c>
      <c r="B1361" s="470">
        <f>IF('Flow Indicator Parts List'!$D$2="CDN$",_xlfn.XLOOKUP(A1361,Prices!A:A,Prices!D:D),IF('Flow Indicator Parts List'!$D$2="US$",_xlfn.XLOOKUP(CurrencyModifier!A1361,Prices!A:A,Prices!E:E,"MISSING")))</f>
        <v>23.606000000000002</v>
      </c>
    </row>
    <row r="1362" spans="1:2">
      <c r="A1362" t="str">
        <f>Prices!A1368</f>
        <v>40623-NM</v>
      </c>
      <c r="B1362" s="470">
        <f>IF('Flow Indicator Parts List'!$D$2="CDN$",_xlfn.XLOOKUP(A1362,Prices!A:A,Prices!D:D),IF('Flow Indicator Parts List'!$D$2="US$",_xlfn.XLOOKUP(CurrencyModifier!A1362,Prices!A:A,Prices!E:E,"MISSING")))</f>
        <v>21.335999999999999</v>
      </c>
    </row>
    <row r="1363" spans="1:2">
      <c r="A1363" t="str">
        <f>Prices!A1369</f>
        <v>40631-00</v>
      </c>
      <c r="B1363" s="470">
        <f>IF('Flow Indicator Parts List'!$D$2="CDN$",_xlfn.XLOOKUP(A1363,Prices!A:A,Prices!D:D),IF('Flow Indicator Parts List'!$D$2="US$",_xlfn.XLOOKUP(CurrencyModifier!A1363,Prices!A:A,Prices!E:E,"MISSING")))</f>
        <v>9.3140000000000001</v>
      </c>
    </row>
    <row r="1364" spans="1:2">
      <c r="A1364" t="str">
        <f>Prices!A1370</f>
        <v>40631-MS</v>
      </c>
      <c r="B1364" s="470">
        <f>IF('Flow Indicator Parts List'!$D$2="CDN$",_xlfn.XLOOKUP(A1364,Prices!A:A,Prices!D:D),IF('Flow Indicator Parts List'!$D$2="US$",_xlfn.XLOOKUP(CurrencyModifier!A1364,Prices!A:A,Prices!E:E,"MISSING")))</f>
        <v>10.992000000000001</v>
      </c>
    </row>
    <row r="1365" spans="1:2">
      <c r="A1365" t="str">
        <f>Prices!A1371</f>
        <v>40631-NM</v>
      </c>
      <c r="B1365" s="470">
        <f>IF('Flow Indicator Parts List'!$D$2="CDN$",_xlfn.XLOOKUP(A1365,Prices!A:A,Prices!D:D),IF('Flow Indicator Parts List'!$D$2="US$",_xlfn.XLOOKUP(CurrencyModifier!A1365,Prices!A:A,Prices!E:E,"MISSING")))</f>
        <v>8.7230000000000008</v>
      </c>
    </row>
    <row r="1366" spans="1:2">
      <c r="A1366" t="str">
        <f>Prices!A1372</f>
        <v>40632-00</v>
      </c>
      <c r="B1366" s="470">
        <f>IF('Flow Indicator Parts List'!$D$2="CDN$",_xlfn.XLOOKUP(A1366,Prices!A:A,Prices!D:D),IF('Flow Indicator Parts List'!$D$2="US$",_xlfn.XLOOKUP(CurrencyModifier!A1366,Prices!A:A,Prices!E:E,"MISSING")))</f>
        <v>20.22</v>
      </c>
    </row>
    <row r="1367" spans="1:2">
      <c r="A1367" t="str">
        <f>Prices!A1373</f>
        <v>40632-MS</v>
      </c>
      <c r="B1367" s="470">
        <f>IF('Flow Indicator Parts List'!$D$2="CDN$",_xlfn.XLOOKUP(A1367,Prices!A:A,Prices!D:D),IF('Flow Indicator Parts List'!$D$2="US$",_xlfn.XLOOKUP(CurrencyModifier!A1367,Prices!A:A,Prices!E:E,"MISSING")))</f>
        <v>21.898</v>
      </c>
    </row>
    <row r="1368" spans="1:2">
      <c r="A1368" t="str">
        <f>Prices!A1374</f>
        <v>40632-NM</v>
      </c>
      <c r="B1368" s="470">
        <f>IF('Flow Indicator Parts List'!$D$2="CDN$",_xlfn.XLOOKUP(A1368,Prices!A:A,Prices!D:D),IF('Flow Indicator Parts List'!$D$2="US$",_xlfn.XLOOKUP(CurrencyModifier!A1368,Prices!A:A,Prices!E:E,"MISSING")))</f>
        <v>19.628</v>
      </c>
    </row>
    <row r="1369" spans="1:2">
      <c r="A1369" t="str">
        <f>Prices!A1375</f>
        <v>40633-00</v>
      </c>
      <c r="B1369" s="470">
        <f>IF('Flow Indicator Parts List'!$D$2="CDN$",_xlfn.XLOOKUP(A1369,Prices!A:A,Prices!D:D),IF('Flow Indicator Parts List'!$D$2="US$",_xlfn.XLOOKUP(CurrencyModifier!A1369,Prices!A:A,Prices!E:E,"MISSING")))</f>
        <v>24.326000000000001</v>
      </c>
    </row>
    <row r="1370" spans="1:2">
      <c r="A1370" t="str">
        <f>Prices!A1376</f>
        <v>40633-MS</v>
      </c>
      <c r="B1370" s="470">
        <f>IF('Flow Indicator Parts List'!$D$2="CDN$",_xlfn.XLOOKUP(A1370,Prices!A:A,Prices!D:D),IF('Flow Indicator Parts List'!$D$2="US$",_xlfn.XLOOKUP(CurrencyModifier!A1370,Prices!A:A,Prices!E:E,"MISSING")))</f>
        <v>26.004000000000001</v>
      </c>
    </row>
    <row r="1371" spans="1:2">
      <c r="A1371" t="str">
        <f>Prices!A1377</f>
        <v>40633-NM</v>
      </c>
      <c r="B1371" s="470">
        <f>IF('Flow Indicator Parts List'!$D$2="CDN$",_xlfn.XLOOKUP(A1371,Prices!A:A,Prices!D:D),IF('Flow Indicator Parts List'!$D$2="US$",_xlfn.XLOOKUP(CurrencyModifier!A1371,Prices!A:A,Prices!E:E,"MISSING")))</f>
        <v>23.734000000000002</v>
      </c>
    </row>
    <row r="1372" spans="1:2">
      <c r="A1372" t="str">
        <f>Prices!A1378</f>
        <v>40651-00</v>
      </c>
      <c r="B1372" s="470">
        <f>IF('Flow Indicator Parts List'!$D$2="CDN$",_xlfn.XLOOKUP(A1372,Prices!A:A,Prices!D:D),IF('Flow Indicator Parts List'!$D$2="US$",_xlfn.XLOOKUP(CurrencyModifier!A1372,Prices!A:A,Prices!E:E,"MISSING")))</f>
        <v>6.915</v>
      </c>
    </row>
    <row r="1373" spans="1:2">
      <c r="A1373" t="str">
        <f>Prices!A1379</f>
        <v>40651-MS</v>
      </c>
      <c r="B1373" s="470">
        <f>IF('Flow Indicator Parts List'!$D$2="CDN$",_xlfn.XLOOKUP(A1373,Prices!A:A,Prices!D:D),IF('Flow Indicator Parts List'!$D$2="US$",_xlfn.XLOOKUP(CurrencyModifier!A1373,Prices!A:A,Prices!E:E,"MISSING")))</f>
        <v>8.5950000000000006</v>
      </c>
    </row>
    <row r="1374" spans="1:2">
      <c r="A1374" t="str">
        <f>Prices!A1380</f>
        <v>40651-NM</v>
      </c>
      <c r="B1374" s="470">
        <f>IF('Flow Indicator Parts List'!$D$2="CDN$",_xlfn.XLOOKUP(A1374,Prices!A:A,Prices!D:D),IF('Flow Indicator Parts List'!$D$2="US$",_xlfn.XLOOKUP(CurrencyModifier!A1374,Prices!A:A,Prices!E:E,"MISSING")))</f>
        <v>6.3250000000000002</v>
      </c>
    </row>
    <row r="1375" spans="1:2">
      <c r="A1375" t="str">
        <f>Prices!A1381</f>
        <v>40652-00</v>
      </c>
      <c r="B1375" s="470">
        <f>IF('Flow Indicator Parts List'!$D$2="CDN$",_xlfn.XLOOKUP(A1375,Prices!A:A,Prices!D:D),IF('Flow Indicator Parts List'!$D$2="US$",_xlfn.XLOOKUP(CurrencyModifier!A1375,Prices!A:A,Prices!E:E,"MISSING")))</f>
        <v>17.823</v>
      </c>
    </row>
    <row r="1376" spans="1:2">
      <c r="A1376" t="str">
        <f>Prices!A1382</f>
        <v>40652-MS</v>
      </c>
      <c r="B1376" s="470">
        <f>IF('Flow Indicator Parts List'!$D$2="CDN$",_xlfn.XLOOKUP(A1376,Prices!A:A,Prices!D:D),IF('Flow Indicator Parts List'!$D$2="US$",_xlfn.XLOOKUP(CurrencyModifier!A1376,Prices!A:A,Prices!E:E,"MISSING")))</f>
        <v>19.501999999999999</v>
      </c>
    </row>
    <row r="1377" spans="1:2">
      <c r="A1377" t="str">
        <f>Prices!A1383</f>
        <v>40652-NM</v>
      </c>
      <c r="B1377" s="470">
        <f>IF('Flow Indicator Parts List'!$D$2="CDN$",_xlfn.XLOOKUP(A1377,Prices!A:A,Prices!D:D),IF('Flow Indicator Parts List'!$D$2="US$",_xlfn.XLOOKUP(CurrencyModifier!A1377,Prices!A:A,Prices!E:E,"MISSING")))</f>
        <v>17.233000000000001</v>
      </c>
    </row>
    <row r="1378" spans="1:2">
      <c r="A1378" t="str">
        <f>Prices!A1384</f>
        <v>40653-00</v>
      </c>
      <c r="B1378" s="470">
        <f>IF('Flow Indicator Parts List'!$D$2="CDN$",_xlfn.XLOOKUP(A1378,Prices!A:A,Prices!D:D),IF('Flow Indicator Parts List'!$D$2="US$",_xlfn.XLOOKUP(CurrencyModifier!A1378,Prices!A:A,Prices!E:E,"MISSING")))</f>
        <v>21.928000000000001</v>
      </c>
    </row>
    <row r="1379" spans="1:2">
      <c r="A1379" t="str">
        <f>Prices!A1385</f>
        <v>40653-MS</v>
      </c>
      <c r="B1379" s="470">
        <f>IF('Flow Indicator Parts List'!$D$2="CDN$",_xlfn.XLOOKUP(A1379,Prices!A:A,Prices!D:D),IF('Flow Indicator Parts List'!$D$2="US$",_xlfn.XLOOKUP(CurrencyModifier!A1379,Prices!A:A,Prices!E:E,"MISSING")))</f>
        <v>23.606000000000002</v>
      </c>
    </row>
    <row r="1380" spans="1:2">
      <c r="A1380" t="str">
        <f>Prices!A1386</f>
        <v>40653-NM</v>
      </c>
      <c r="B1380" s="470">
        <f>IF('Flow Indicator Parts List'!$D$2="CDN$",_xlfn.XLOOKUP(A1380,Prices!A:A,Prices!D:D),IF('Flow Indicator Parts List'!$D$2="US$",_xlfn.XLOOKUP(CurrencyModifier!A1380,Prices!A:A,Prices!E:E,"MISSING")))</f>
        <v>21.335999999999999</v>
      </c>
    </row>
    <row r="1381" spans="1:2">
      <c r="A1381" t="str">
        <f>Prices!A1387</f>
        <v>40661-00</v>
      </c>
      <c r="B1381" s="470">
        <f>IF('Flow Indicator Parts List'!$D$2="CDN$",_xlfn.XLOOKUP(A1381,Prices!A:A,Prices!D:D),IF('Flow Indicator Parts List'!$D$2="US$",_xlfn.XLOOKUP(CurrencyModifier!A1381,Prices!A:A,Prices!E:E,"MISSING")))</f>
        <v>6.915</v>
      </c>
    </row>
    <row r="1382" spans="1:2">
      <c r="A1382" t="str">
        <f>Prices!A1388</f>
        <v>40661-MS</v>
      </c>
      <c r="B1382" s="470">
        <f>IF('Flow Indicator Parts List'!$D$2="CDN$",_xlfn.XLOOKUP(A1382,Prices!A:A,Prices!D:D),IF('Flow Indicator Parts List'!$D$2="US$",_xlfn.XLOOKUP(CurrencyModifier!A1382,Prices!A:A,Prices!E:E,"MISSING")))</f>
        <v>8.5950000000000006</v>
      </c>
    </row>
    <row r="1383" spans="1:2">
      <c r="A1383" t="str">
        <f>Prices!A1389</f>
        <v>40661-NM</v>
      </c>
      <c r="B1383" s="470">
        <f>IF('Flow Indicator Parts List'!$D$2="CDN$",_xlfn.XLOOKUP(A1383,Prices!A:A,Prices!D:D),IF('Flow Indicator Parts List'!$D$2="US$",_xlfn.XLOOKUP(CurrencyModifier!A1383,Prices!A:A,Prices!E:E,"MISSING")))</f>
        <v>6.3250000000000002</v>
      </c>
    </row>
    <row r="1384" spans="1:2">
      <c r="A1384" t="str">
        <f>Prices!A1390</f>
        <v>40661-S0</v>
      </c>
      <c r="B1384" s="470">
        <f>IF('Flow Indicator Parts List'!$D$2="CDN$",_xlfn.XLOOKUP(A1384,Prices!A:A,Prices!D:D),IF('Flow Indicator Parts List'!$D$2="US$",_xlfn.XLOOKUP(CurrencyModifier!A1384,Prices!A:A,Prices!E:E,"MISSING")))</f>
        <v>6.915</v>
      </c>
    </row>
    <row r="1385" spans="1:2">
      <c r="A1385" t="str">
        <f>Prices!A1391</f>
        <v>40662-00</v>
      </c>
      <c r="B1385" s="470">
        <f>IF('Flow Indicator Parts List'!$D$2="CDN$",_xlfn.XLOOKUP(A1385,Prices!A:A,Prices!D:D),IF('Flow Indicator Parts List'!$D$2="US$",_xlfn.XLOOKUP(CurrencyModifier!A1385,Prices!A:A,Prices!E:E,"MISSING")))</f>
        <v>17.823</v>
      </c>
    </row>
    <row r="1386" spans="1:2">
      <c r="A1386" t="str">
        <f>Prices!A1392</f>
        <v>40662-MS</v>
      </c>
      <c r="B1386" s="470">
        <f>IF('Flow Indicator Parts List'!$D$2="CDN$",_xlfn.XLOOKUP(A1386,Prices!A:A,Prices!D:D),IF('Flow Indicator Parts List'!$D$2="US$",_xlfn.XLOOKUP(CurrencyModifier!A1386,Prices!A:A,Prices!E:E,"MISSING")))</f>
        <v>19.501999999999999</v>
      </c>
    </row>
    <row r="1387" spans="1:2">
      <c r="A1387" t="str">
        <f>Prices!A1393</f>
        <v>40662-NM</v>
      </c>
      <c r="B1387" s="470">
        <f>IF('Flow Indicator Parts List'!$D$2="CDN$",_xlfn.XLOOKUP(A1387,Prices!A:A,Prices!D:D),IF('Flow Indicator Parts List'!$D$2="US$",_xlfn.XLOOKUP(CurrencyModifier!A1387,Prices!A:A,Prices!E:E,"MISSING")))</f>
        <v>17.233000000000001</v>
      </c>
    </row>
    <row r="1388" spans="1:2">
      <c r="A1388" t="str">
        <f>Prices!A1394</f>
        <v>40662-P15</v>
      </c>
      <c r="B1388" s="470">
        <f>IF('Flow Indicator Parts List'!$D$2="CDN$",_xlfn.XLOOKUP(A1388,Prices!A:A,Prices!D:D),IF('Flow Indicator Parts List'!$D$2="US$",_xlfn.XLOOKUP(CurrencyModifier!A1388,Prices!A:A,Prices!E:E,"MISSING")))</f>
        <v>17.823</v>
      </c>
    </row>
    <row r="1389" spans="1:2">
      <c r="A1389" t="str">
        <f>Prices!A1395</f>
        <v>40663-00</v>
      </c>
      <c r="B1389" s="470">
        <f>IF('Flow Indicator Parts List'!$D$2="CDN$",_xlfn.XLOOKUP(A1389,Prices!A:A,Prices!D:D),IF('Flow Indicator Parts List'!$D$2="US$",_xlfn.XLOOKUP(CurrencyModifier!A1389,Prices!A:A,Prices!E:E,"MISSING")))</f>
        <v>21.928000000000001</v>
      </c>
    </row>
    <row r="1390" spans="1:2">
      <c r="A1390" t="str">
        <f>Prices!A1396</f>
        <v>40663-MS</v>
      </c>
      <c r="B1390" s="470">
        <f>IF('Flow Indicator Parts List'!$D$2="CDN$",_xlfn.XLOOKUP(A1390,Prices!A:A,Prices!D:D),IF('Flow Indicator Parts List'!$D$2="US$",_xlfn.XLOOKUP(CurrencyModifier!A1390,Prices!A:A,Prices!E:E,"MISSING")))</f>
        <v>23.606000000000002</v>
      </c>
    </row>
    <row r="1391" spans="1:2">
      <c r="A1391" t="str">
        <f>Prices!A1397</f>
        <v>40663-NM</v>
      </c>
      <c r="B1391" s="470">
        <f>IF('Flow Indicator Parts List'!$D$2="CDN$",_xlfn.XLOOKUP(A1391,Prices!A:A,Prices!D:D),IF('Flow Indicator Parts List'!$D$2="US$",_xlfn.XLOOKUP(CurrencyModifier!A1391,Prices!A:A,Prices!E:E,"MISSING")))</f>
        <v>21.335999999999999</v>
      </c>
    </row>
    <row r="1392" spans="1:2">
      <c r="A1392" t="str">
        <f>Prices!A1398</f>
        <v>40671-00</v>
      </c>
      <c r="B1392" s="470">
        <f>IF('Flow Indicator Parts List'!$D$2="CDN$",_xlfn.XLOOKUP(A1392,Prices!A:A,Prices!D:D),IF('Flow Indicator Parts List'!$D$2="US$",_xlfn.XLOOKUP(CurrencyModifier!A1392,Prices!A:A,Prices!E:E,"MISSING")))</f>
        <v>9.3140000000000001</v>
      </c>
    </row>
    <row r="1393" spans="1:2">
      <c r="A1393" t="str">
        <f>Prices!A1399</f>
        <v>40671-MS</v>
      </c>
      <c r="B1393" s="470">
        <f>IF('Flow Indicator Parts List'!$D$2="CDN$",_xlfn.XLOOKUP(A1393,Prices!A:A,Prices!D:D),IF('Flow Indicator Parts List'!$D$2="US$",_xlfn.XLOOKUP(CurrencyModifier!A1393,Prices!A:A,Prices!E:E,"MISSING")))</f>
        <v>10.992000000000001</v>
      </c>
    </row>
    <row r="1394" spans="1:2">
      <c r="A1394" t="str">
        <f>Prices!A1400</f>
        <v>40671-NM</v>
      </c>
      <c r="B1394" s="470">
        <f>IF('Flow Indicator Parts List'!$D$2="CDN$",_xlfn.XLOOKUP(A1394,Prices!A:A,Prices!D:D),IF('Flow Indicator Parts List'!$D$2="US$",_xlfn.XLOOKUP(CurrencyModifier!A1394,Prices!A:A,Prices!E:E,"MISSING")))</f>
        <v>8.7230000000000008</v>
      </c>
    </row>
    <row r="1395" spans="1:2">
      <c r="A1395" t="str">
        <f>Prices!A1401</f>
        <v>40672-00</v>
      </c>
      <c r="B1395" s="470">
        <f>IF('Flow Indicator Parts List'!$D$2="CDN$",_xlfn.XLOOKUP(A1395,Prices!A:A,Prices!D:D),IF('Flow Indicator Parts List'!$D$2="US$",_xlfn.XLOOKUP(CurrencyModifier!A1395,Prices!A:A,Prices!E:E,"MISSING")))</f>
        <v>20.22</v>
      </c>
    </row>
    <row r="1396" spans="1:2">
      <c r="A1396" t="str">
        <f>Prices!A1402</f>
        <v>40672-MS</v>
      </c>
      <c r="B1396" s="470">
        <f>IF('Flow Indicator Parts List'!$D$2="CDN$",_xlfn.XLOOKUP(A1396,Prices!A:A,Prices!D:D),IF('Flow Indicator Parts List'!$D$2="US$",_xlfn.XLOOKUP(CurrencyModifier!A1396,Prices!A:A,Prices!E:E,"MISSING")))</f>
        <v>21.898</v>
      </c>
    </row>
    <row r="1397" spans="1:2">
      <c r="A1397" t="str">
        <f>Prices!A1403</f>
        <v>40672-NM</v>
      </c>
      <c r="B1397" s="470">
        <f>IF('Flow Indicator Parts List'!$D$2="CDN$",_xlfn.XLOOKUP(A1397,Prices!A:A,Prices!D:D),IF('Flow Indicator Parts List'!$D$2="US$",_xlfn.XLOOKUP(CurrencyModifier!A1397,Prices!A:A,Prices!E:E,"MISSING")))</f>
        <v>19.628</v>
      </c>
    </row>
    <row r="1398" spans="1:2">
      <c r="A1398" t="str">
        <f>Prices!A1404</f>
        <v>40673-00</v>
      </c>
      <c r="B1398" s="470">
        <f>IF('Flow Indicator Parts List'!$D$2="CDN$",_xlfn.XLOOKUP(A1398,Prices!A:A,Prices!D:D),IF('Flow Indicator Parts List'!$D$2="US$",_xlfn.XLOOKUP(CurrencyModifier!A1398,Prices!A:A,Prices!E:E,"MISSING")))</f>
        <v>24.326000000000001</v>
      </c>
    </row>
    <row r="1399" spans="1:2">
      <c r="A1399" t="str">
        <f>Prices!A1405</f>
        <v>40673-MS</v>
      </c>
      <c r="B1399" s="470">
        <f>IF('Flow Indicator Parts List'!$D$2="CDN$",_xlfn.XLOOKUP(A1399,Prices!A:A,Prices!D:D),IF('Flow Indicator Parts List'!$D$2="US$",_xlfn.XLOOKUP(CurrencyModifier!A1399,Prices!A:A,Prices!E:E,"MISSING")))</f>
        <v>26.004000000000001</v>
      </c>
    </row>
    <row r="1400" spans="1:2">
      <c r="A1400" t="str">
        <f>Prices!A1406</f>
        <v>40673-NM</v>
      </c>
      <c r="B1400" s="470">
        <f>IF('Flow Indicator Parts List'!$D$2="CDN$",_xlfn.XLOOKUP(A1400,Prices!A:A,Prices!D:D),IF('Flow Indicator Parts List'!$D$2="US$",_xlfn.XLOOKUP(CurrencyModifier!A1400,Prices!A:A,Prices!E:E,"MISSING")))</f>
        <v>23.734000000000002</v>
      </c>
    </row>
    <row r="1401" spans="1:2">
      <c r="A1401" t="str">
        <f>Prices!A1407</f>
        <v>41100-00</v>
      </c>
      <c r="B1401" s="470">
        <f>IF('Flow Indicator Parts List'!$D$2="CDN$",_xlfn.XLOOKUP(A1401,Prices!A:A,Prices!D:D),IF('Flow Indicator Parts List'!$D$2="US$",_xlfn.XLOOKUP(CurrencyModifier!A1401,Prices!A:A,Prices!E:E,"MISSING")))</f>
        <v>11.802</v>
      </c>
    </row>
    <row r="1402" spans="1:2">
      <c r="A1402" t="str">
        <f>Prices!A1408</f>
        <v>41100-01</v>
      </c>
      <c r="B1402" s="470">
        <f>IF('Flow Indicator Parts List'!$D$2="CDN$",_xlfn.XLOOKUP(A1402,Prices!A:A,Prices!D:D),IF('Flow Indicator Parts List'!$D$2="US$",_xlfn.XLOOKUP(CurrencyModifier!A1402,Prices!A:A,Prices!E:E,"MISSING")))</f>
        <v>3.5209999999999999</v>
      </c>
    </row>
    <row r="1403" spans="1:2">
      <c r="A1403" t="str">
        <f>Prices!A1409</f>
        <v>41100-02</v>
      </c>
      <c r="B1403" s="470">
        <f>IF('Flow Indicator Parts List'!$D$2="CDN$",_xlfn.XLOOKUP(A1403,Prices!A:A,Prices!D:D),IF('Flow Indicator Parts List'!$D$2="US$",_xlfn.XLOOKUP(CurrencyModifier!A1403,Prices!A:A,Prices!E:E,"MISSING")))</f>
        <v>1.8080000000000001</v>
      </c>
    </row>
    <row r="1404" spans="1:2">
      <c r="A1404" t="str">
        <f>Prices!A1410</f>
        <v>41100-03</v>
      </c>
      <c r="B1404" s="470">
        <f>IF('Flow Indicator Parts List'!$D$2="CDN$",_xlfn.XLOOKUP(A1404,Prices!A:A,Prices!D:D),IF('Flow Indicator Parts List'!$D$2="US$",_xlfn.XLOOKUP(CurrencyModifier!A1404,Prices!A:A,Prices!E:E,"MISSING")))</f>
        <v>3.617</v>
      </c>
    </row>
    <row r="1405" spans="1:2">
      <c r="A1405" t="str">
        <f>Prices!A1411</f>
        <v>41100-04</v>
      </c>
      <c r="B1405" s="470">
        <f>IF('Flow Indicator Parts List'!$D$2="CDN$",_xlfn.XLOOKUP(A1405,Prices!A:A,Prices!D:D),IF('Flow Indicator Parts List'!$D$2="US$",_xlfn.XLOOKUP(CurrencyModifier!A1405,Prices!A:A,Prices!E:E,"MISSING")))</f>
        <v>1.2669999999999999</v>
      </c>
    </row>
    <row r="1406" spans="1:2">
      <c r="A1406" t="str">
        <f>Prices!A1412</f>
        <v>41100-05</v>
      </c>
      <c r="B1406" s="470">
        <f>IF('Flow Indicator Parts List'!$D$2="CDN$",_xlfn.XLOOKUP(A1406,Prices!A:A,Prices!D:D),IF('Flow Indicator Parts List'!$D$2="US$",_xlfn.XLOOKUP(CurrencyModifier!A1406,Prices!A:A,Prices!E:E,"MISSING")))</f>
        <v>0.44600000000000001</v>
      </c>
    </row>
    <row r="1407" spans="1:2">
      <c r="A1407" t="str">
        <f>Prices!A1413</f>
        <v>41100-06</v>
      </c>
      <c r="B1407" s="470">
        <f>IF('Flow Indicator Parts List'!$D$2="CDN$",_xlfn.XLOOKUP(A1407,Prices!A:A,Prices!D:D),IF('Flow Indicator Parts List'!$D$2="US$",_xlfn.XLOOKUP(CurrencyModifier!A1407,Prices!A:A,Prices!E:E,"MISSING")))</f>
        <v>1.0569999999999999</v>
      </c>
    </row>
    <row r="1408" spans="1:2">
      <c r="A1408" t="str">
        <f>Prices!A1414</f>
        <v>41100-07</v>
      </c>
      <c r="B1408" s="470">
        <f>IF('Flow Indicator Parts List'!$D$2="CDN$",_xlfn.XLOOKUP(A1408,Prices!A:A,Prices!D:D),IF('Flow Indicator Parts List'!$D$2="US$",_xlfn.XLOOKUP(CurrencyModifier!A1408,Prices!A:A,Prices!E:E,"MISSING")))</f>
        <v>0.44600000000000001</v>
      </c>
    </row>
    <row r="1409" spans="1:2">
      <c r="A1409" t="str">
        <f>Prices!A1415</f>
        <v>41100-08</v>
      </c>
      <c r="B1409" s="470">
        <f>IF('Flow Indicator Parts List'!$D$2="CDN$",_xlfn.XLOOKUP(A1409,Prices!A:A,Prices!D:D),IF('Flow Indicator Parts List'!$D$2="US$",_xlfn.XLOOKUP(CurrencyModifier!A1409,Prices!A:A,Prices!E:E,"MISSING")))</f>
        <v>0.44600000000000001</v>
      </c>
    </row>
    <row r="1410" spans="1:2">
      <c r="A1410" t="str">
        <f>Prices!A1416</f>
        <v>41100-09</v>
      </c>
      <c r="B1410" s="470">
        <f>IF('Flow Indicator Parts List'!$D$2="CDN$",_xlfn.XLOOKUP(A1410,Prices!A:A,Prices!D:D),IF('Flow Indicator Parts List'!$D$2="US$",_xlfn.XLOOKUP(CurrencyModifier!A1410,Prices!A:A,Prices!E:E,"MISSING")))</f>
        <v>0.44600000000000001</v>
      </c>
    </row>
    <row r="1411" spans="1:2">
      <c r="A1411" t="str">
        <f>Prices!A1417</f>
        <v>41100-10</v>
      </c>
      <c r="B1411" s="470">
        <f>IF('Flow Indicator Parts List'!$D$2="CDN$",_xlfn.XLOOKUP(A1411,Prices!A:A,Prices!D:D),IF('Flow Indicator Parts List'!$D$2="US$",_xlfn.XLOOKUP(CurrencyModifier!A1411,Prices!A:A,Prices!E:E,"MISSING")))</f>
        <v>1.2669999999999999</v>
      </c>
    </row>
    <row r="1412" spans="1:2">
      <c r="A1412" t="str">
        <f>Prices!A1418</f>
        <v>41100-11</v>
      </c>
      <c r="B1412" s="470">
        <f>IF('Flow Indicator Parts List'!$D$2="CDN$",_xlfn.XLOOKUP(A1412,Prices!A:A,Prices!D:D),IF('Flow Indicator Parts List'!$D$2="US$",_xlfn.XLOOKUP(CurrencyModifier!A1412,Prices!A:A,Prices!E:E,"MISSING")))</f>
        <v>3.617</v>
      </c>
    </row>
    <row r="1413" spans="1:2">
      <c r="A1413" t="str">
        <f>Prices!A1419</f>
        <v>41100-13</v>
      </c>
      <c r="B1413" s="470">
        <f>IF('Flow Indicator Parts List'!$D$2="CDN$",_xlfn.XLOOKUP(A1413,Prices!A:A,Prices!D:D),IF('Flow Indicator Parts List'!$D$2="US$",_xlfn.XLOOKUP(CurrencyModifier!A1413,Prices!A:A,Prices!E:E,"MISSING")))</f>
        <v>1.2669999999999999</v>
      </c>
    </row>
    <row r="1414" spans="1:2">
      <c r="A1414" t="str">
        <f>Prices!A1420</f>
        <v>41100-14</v>
      </c>
      <c r="B1414" s="470">
        <f>IF('Flow Indicator Parts List'!$D$2="CDN$",_xlfn.XLOOKUP(A1414,Prices!A:A,Prices!D:D),IF('Flow Indicator Parts List'!$D$2="US$",_xlfn.XLOOKUP(CurrencyModifier!A1414,Prices!A:A,Prices!E:E,"MISSING")))</f>
        <v>1.8080000000000001</v>
      </c>
    </row>
    <row r="1415" spans="1:2">
      <c r="A1415" t="str">
        <f>Prices!A1421</f>
        <v>41100-15</v>
      </c>
      <c r="B1415" s="470">
        <f>IF('Flow Indicator Parts List'!$D$2="CDN$",_xlfn.XLOOKUP(A1415,Prices!A:A,Prices!D:D),IF('Flow Indicator Parts List'!$D$2="US$",_xlfn.XLOOKUP(CurrencyModifier!A1415,Prices!A:A,Prices!E:E,"MISSING")))</f>
        <v>11.808</v>
      </c>
    </row>
    <row r="1416" spans="1:2">
      <c r="A1416" t="str">
        <f>Prices!A1422</f>
        <v>41100-16</v>
      </c>
      <c r="B1416" s="470">
        <f>IF('Flow Indicator Parts List'!$D$2="CDN$",_xlfn.XLOOKUP(A1416,Prices!A:A,Prices!D:D),IF('Flow Indicator Parts List'!$D$2="US$",_xlfn.XLOOKUP(CurrencyModifier!A1416,Prices!A:A,Prices!E:E,"MISSING")))</f>
        <v>57.863999999999997</v>
      </c>
    </row>
    <row r="1417" spans="1:2">
      <c r="A1417" t="str">
        <f>Prices!A1423</f>
        <v>41101-00</v>
      </c>
      <c r="B1417" s="470">
        <f>IF('Flow Indicator Parts List'!$D$2="CDN$",_xlfn.XLOOKUP(A1417,Prices!A:A,Prices!D:D),IF('Flow Indicator Parts List'!$D$2="US$",_xlfn.XLOOKUP(CurrencyModifier!A1417,Prices!A:A,Prices!E:E,"MISSING")))</f>
        <v>10.760999999999999</v>
      </c>
    </row>
    <row r="1418" spans="1:2">
      <c r="A1418" t="str">
        <f>Prices!A1424</f>
        <v>41101-01</v>
      </c>
      <c r="B1418" s="470">
        <f>IF('Flow Indicator Parts List'!$D$2="CDN$",_xlfn.XLOOKUP(A1418,Prices!A:A,Prices!D:D),IF('Flow Indicator Parts List'!$D$2="US$",_xlfn.XLOOKUP(CurrencyModifier!A1418,Prices!A:A,Prices!E:E,"MISSING")))</f>
        <v>3.9790000000000001</v>
      </c>
    </row>
    <row r="1419" spans="1:2">
      <c r="A1419" t="str">
        <f>Prices!A1425</f>
        <v>41102-00</v>
      </c>
      <c r="B1419" s="470">
        <f>IF('Flow Indicator Parts List'!$D$2="CDN$",_xlfn.XLOOKUP(A1419,Prices!A:A,Prices!D:D),IF('Flow Indicator Parts List'!$D$2="US$",_xlfn.XLOOKUP(CurrencyModifier!A1419,Prices!A:A,Prices!E:E,"MISSING")))</f>
        <v>14.583</v>
      </c>
    </row>
    <row r="1420" spans="1:2">
      <c r="A1420" t="str">
        <f>Prices!A1426</f>
        <v>41102-01</v>
      </c>
      <c r="B1420" s="470">
        <f>IF('Flow Indicator Parts List'!$D$2="CDN$",_xlfn.XLOOKUP(A1420,Prices!A:A,Prices!D:D),IF('Flow Indicator Parts List'!$D$2="US$",_xlfn.XLOOKUP(CurrencyModifier!A1420,Prices!A:A,Prices!E:E,"MISSING")))</f>
        <v>4.2679999999999998</v>
      </c>
    </row>
    <row r="1421" spans="1:2">
      <c r="A1421" t="str">
        <f>Prices!A1427</f>
        <v>41102-02</v>
      </c>
      <c r="B1421" s="470">
        <f>IF('Flow Indicator Parts List'!$D$2="CDN$",_xlfn.XLOOKUP(A1421,Prices!A:A,Prices!D:D),IF('Flow Indicator Parts List'!$D$2="US$",_xlfn.XLOOKUP(CurrencyModifier!A1421,Prices!A:A,Prices!E:E,"MISSING")))</f>
        <v>2.8479999999999999</v>
      </c>
    </row>
    <row r="1422" spans="1:2">
      <c r="A1422" t="str">
        <f>Prices!A1428</f>
        <v>41102-03</v>
      </c>
      <c r="B1422" s="470">
        <f>IF('Flow Indicator Parts List'!$D$2="CDN$",_xlfn.XLOOKUP(A1422,Prices!A:A,Prices!D:D),IF('Flow Indicator Parts List'!$D$2="US$",_xlfn.XLOOKUP(CurrencyModifier!A1422,Prices!A:A,Prices!E:E,"MISSING")))</f>
        <v>0.45700000000000002</v>
      </c>
    </row>
    <row r="1423" spans="1:2">
      <c r="A1423" t="str">
        <f>Prices!A1429</f>
        <v>41102-04</v>
      </c>
      <c r="B1423" s="470">
        <f>IF('Flow Indicator Parts List'!$D$2="CDN$",_xlfn.XLOOKUP(A1423,Prices!A:A,Prices!D:D),IF('Flow Indicator Parts List'!$D$2="US$",_xlfn.XLOOKUP(CurrencyModifier!A1423,Prices!A:A,Prices!E:E,"MISSING")))</f>
        <v>0.91500000000000004</v>
      </c>
    </row>
    <row r="1424" spans="1:2">
      <c r="A1424" t="str">
        <f>Prices!A1430</f>
        <v>41110-00</v>
      </c>
      <c r="B1424" s="470">
        <f>IF('Flow Indicator Parts List'!$D$2="CDN$",_xlfn.XLOOKUP(A1424,Prices!A:A,Prices!D:D),IF('Flow Indicator Parts List'!$D$2="US$",_xlfn.XLOOKUP(CurrencyModifier!A1424,Prices!A:A,Prices!E:E,"MISSING")))</f>
        <v>13.484</v>
      </c>
    </row>
    <row r="1425" spans="1:2">
      <c r="A1425" t="str">
        <f>Prices!A1431</f>
        <v>41110-01</v>
      </c>
      <c r="B1425" s="470">
        <f>IF('Flow Indicator Parts List'!$D$2="CDN$",_xlfn.XLOOKUP(A1425,Prices!A:A,Prices!D:D),IF('Flow Indicator Parts List'!$D$2="US$",_xlfn.XLOOKUP(CurrencyModifier!A1425,Prices!A:A,Prices!E:E,"MISSING")))</f>
        <v>5.399</v>
      </c>
    </row>
    <row r="1426" spans="1:2">
      <c r="A1426" t="str">
        <f>Prices!A1432</f>
        <v>41110-02</v>
      </c>
      <c r="B1426" s="470">
        <f>IF('Flow Indicator Parts List'!$D$2="CDN$",_xlfn.XLOOKUP(A1426,Prices!A:A,Prices!D:D),IF('Flow Indicator Parts List'!$D$2="US$",_xlfn.XLOOKUP(CurrencyModifier!A1426,Prices!A:A,Prices!E:E,"MISSING")))</f>
        <v>1.3220000000000001</v>
      </c>
    </row>
    <row r="1427" spans="1:2">
      <c r="A1427" t="str">
        <f>Prices!A1433</f>
        <v>41110-03</v>
      </c>
      <c r="B1427" s="470">
        <f>IF('Flow Indicator Parts List'!$D$2="CDN$",_xlfn.XLOOKUP(A1427,Prices!A:A,Prices!D:D),IF('Flow Indicator Parts List'!$D$2="US$",_xlfn.XLOOKUP(CurrencyModifier!A1427,Prices!A:A,Prices!E:E,"MISSING")))</f>
        <v>1.4890000000000001</v>
      </c>
    </row>
    <row r="1428" spans="1:2">
      <c r="A1428" t="str">
        <f>Prices!A1434</f>
        <v>41110-04</v>
      </c>
      <c r="B1428" s="470">
        <f>IF('Flow Indicator Parts List'!$D$2="CDN$",_xlfn.XLOOKUP(A1428,Prices!A:A,Prices!D:D),IF('Flow Indicator Parts List'!$D$2="US$",_xlfn.XLOOKUP(CurrencyModifier!A1428,Prices!A:A,Prices!E:E,"MISSING")))</f>
        <v>1.4890000000000001</v>
      </c>
    </row>
    <row r="1429" spans="1:2">
      <c r="A1429" t="str">
        <f>Prices!A1435</f>
        <v>41110-05</v>
      </c>
      <c r="B1429" s="470">
        <f>IF('Flow Indicator Parts List'!$D$2="CDN$",_xlfn.XLOOKUP(A1429,Prices!A:A,Prices!D:D),IF('Flow Indicator Parts List'!$D$2="US$",_xlfn.XLOOKUP(CurrencyModifier!A1429,Prices!A:A,Prices!E:E,"MISSING")))</f>
        <v>1.4890000000000001</v>
      </c>
    </row>
    <row r="1430" spans="1:2">
      <c r="A1430" t="str">
        <f>Prices!A1436</f>
        <v>41110-06</v>
      </c>
      <c r="B1430" s="470">
        <f>IF('Flow Indicator Parts List'!$D$2="CDN$",_xlfn.XLOOKUP(A1430,Prices!A:A,Prices!D:D),IF('Flow Indicator Parts List'!$D$2="US$",_xlfn.XLOOKUP(CurrencyModifier!A1430,Prices!A:A,Prices!E:E,"MISSING")))</f>
        <v>2.8119999999999998</v>
      </c>
    </row>
    <row r="1431" spans="1:2">
      <c r="A1431" t="str">
        <f>Prices!A1437</f>
        <v>41110-07</v>
      </c>
      <c r="B1431" s="470">
        <f>IF('Flow Indicator Parts List'!$D$2="CDN$",_xlfn.XLOOKUP(A1431,Prices!A:A,Prices!D:D),IF('Flow Indicator Parts List'!$D$2="US$",_xlfn.XLOOKUP(CurrencyModifier!A1431,Prices!A:A,Prices!E:E,"MISSING")))</f>
        <v>5.399</v>
      </c>
    </row>
    <row r="1432" spans="1:2">
      <c r="A1432" t="str">
        <f>Prices!A1438</f>
        <v>41110-08</v>
      </c>
      <c r="B1432" s="470">
        <f>IF('Flow Indicator Parts List'!$D$2="CDN$",_xlfn.XLOOKUP(A1432,Prices!A:A,Prices!D:D),IF('Flow Indicator Parts List'!$D$2="US$",_xlfn.XLOOKUP(CurrencyModifier!A1432,Prices!A:A,Prices!E:E,"MISSING")))</f>
        <v>5.399</v>
      </c>
    </row>
    <row r="1433" spans="1:2">
      <c r="A1433" t="str">
        <f>Prices!A1439</f>
        <v>41110-09</v>
      </c>
      <c r="B1433" s="470">
        <f>IF('Flow Indicator Parts List'!$D$2="CDN$",_xlfn.XLOOKUP(A1433,Prices!A:A,Prices!D:D),IF('Flow Indicator Parts List'!$D$2="US$",_xlfn.XLOOKUP(CurrencyModifier!A1433,Prices!A:A,Prices!E:E,"MISSING")))</f>
        <v>1.4890000000000001</v>
      </c>
    </row>
    <row r="1434" spans="1:2">
      <c r="A1434" t="str">
        <f>Prices!A1440</f>
        <v>41110-P4</v>
      </c>
      <c r="B1434" s="470">
        <f>IF('Flow Indicator Parts List'!$D$2="CDN$",_xlfn.XLOOKUP(A1434,Prices!A:A,Prices!D:D),IF('Flow Indicator Parts List'!$D$2="US$",_xlfn.XLOOKUP(CurrencyModifier!A1434,Prices!A:A,Prices!E:E,"MISSING")))</f>
        <v>13.484</v>
      </c>
    </row>
    <row r="1435" spans="1:2">
      <c r="A1435" t="str">
        <f>Prices!A1441</f>
        <v>41111-00</v>
      </c>
      <c r="B1435" s="470">
        <f>IF('Flow Indicator Parts List'!$D$2="CDN$",_xlfn.XLOOKUP(A1435,Prices!A:A,Prices!D:D),IF('Flow Indicator Parts List'!$D$2="US$",_xlfn.XLOOKUP(CurrencyModifier!A1435,Prices!A:A,Prices!E:E,"MISSING")))</f>
        <v>12.521000000000001</v>
      </c>
    </row>
    <row r="1436" spans="1:2">
      <c r="A1436" t="str">
        <f>Prices!A1442</f>
        <v>41111-P4</v>
      </c>
      <c r="B1436" s="470">
        <f>IF('Flow Indicator Parts List'!$D$2="CDN$",_xlfn.XLOOKUP(A1436,Prices!A:A,Prices!D:D),IF('Flow Indicator Parts List'!$D$2="US$",_xlfn.XLOOKUP(CurrencyModifier!A1436,Prices!A:A,Prices!E:E,"MISSING")))</f>
        <v>12.521000000000001</v>
      </c>
    </row>
    <row r="1437" spans="1:2">
      <c r="A1437" t="str">
        <f>Prices!A1443</f>
        <v>41112-00</v>
      </c>
      <c r="B1437" s="470">
        <f>IF('Flow Indicator Parts List'!$D$2="CDN$",_xlfn.XLOOKUP(A1437,Prices!A:A,Prices!D:D),IF('Flow Indicator Parts List'!$D$2="US$",_xlfn.XLOOKUP(CurrencyModifier!A1437,Prices!A:A,Prices!E:E,"MISSING")))</f>
        <v>16.344000000000001</v>
      </c>
    </row>
    <row r="1438" spans="1:2">
      <c r="A1438" t="str">
        <f>Prices!A1444</f>
        <v>41115-02</v>
      </c>
      <c r="B1438" s="470">
        <f>IF('Flow Indicator Parts List'!$D$2="CDN$",_xlfn.XLOOKUP(A1438,Prices!A:A,Prices!D:D),IF('Flow Indicator Parts List'!$D$2="US$",_xlfn.XLOOKUP(CurrencyModifier!A1438,Prices!A:A,Prices!E:E,"MISSING")))</f>
        <v>56.253</v>
      </c>
    </row>
    <row r="1439" spans="1:2">
      <c r="A1439" t="str">
        <f>Prices!A1445</f>
        <v>41115-03</v>
      </c>
      <c r="B1439" s="470">
        <f>IF('Flow Indicator Parts List'!$D$2="CDN$",_xlfn.XLOOKUP(A1439,Prices!A:A,Prices!D:D),IF('Flow Indicator Parts List'!$D$2="US$",_xlfn.XLOOKUP(CurrencyModifier!A1439,Prices!A:A,Prices!E:E,"MISSING")))</f>
        <v>69.736999999999995</v>
      </c>
    </row>
    <row r="1440" spans="1:2">
      <c r="A1440" t="str">
        <f>Prices!A1446</f>
        <v>41120-12</v>
      </c>
      <c r="B1440" s="470">
        <f>IF('Flow Indicator Parts List'!$D$2="CDN$",_xlfn.XLOOKUP(A1440,Prices!A:A,Prices!D:D),IF('Flow Indicator Parts List'!$D$2="US$",_xlfn.XLOOKUP(CurrencyModifier!A1440,Prices!A:A,Prices!E:E,"MISSING")))</f>
        <v>0.76500000000000001</v>
      </c>
    </row>
    <row r="1441" spans="1:2">
      <c r="A1441" t="str">
        <f>Prices!A1447</f>
        <v>41120-13</v>
      </c>
      <c r="B1441" s="470">
        <f>IF('Flow Indicator Parts List'!$D$2="CDN$",_xlfn.XLOOKUP(A1441,Prices!A:A,Prices!D:D),IF('Flow Indicator Parts List'!$D$2="US$",_xlfn.XLOOKUP(CurrencyModifier!A1441,Prices!A:A,Prices!E:E,"MISSING")))</f>
        <v>0.156</v>
      </c>
    </row>
    <row r="1442" spans="1:2">
      <c r="A1442" t="str">
        <f>Prices!A1448</f>
        <v>41120-14</v>
      </c>
      <c r="B1442" s="470">
        <f>IF('Flow Indicator Parts List'!$D$2="CDN$",_xlfn.XLOOKUP(A1442,Prices!A:A,Prices!D:D),IF('Flow Indicator Parts List'!$D$2="US$",_xlfn.XLOOKUP(CurrencyModifier!A1442,Prices!A:A,Prices!E:E,"MISSING")))</f>
        <v>2.3380000000000001</v>
      </c>
    </row>
    <row r="1443" spans="1:2">
      <c r="A1443" t="str">
        <f>Prices!A1449</f>
        <v>41120-15</v>
      </c>
      <c r="B1443" s="470">
        <f>IF('Flow Indicator Parts List'!$D$2="CDN$",_xlfn.XLOOKUP(A1443,Prices!A:A,Prices!D:D),IF('Flow Indicator Parts List'!$D$2="US$",_xlfn.XLOOKUP(CurrencyModifier!A1443,Prices!A:A,Prices!E:E,"MISSING")))</f>
        <v>0.20799999999999999</v>
      </c>
    </row>
    <row r="1444" spans="1:2">
      <c r="A1444" t="str">
        <f>Prices!A1450</f>
        <v>41120-17</v>
      </c>
      <c r="B1444" s="470">
        <f>IF('Flow Indicator Parts List'!$D$2="CDN$",_xlfn.XLOOKUP(A1444,Prices!A:A,Prices!D:D),IF('Flow Indicator Parts List'!$D$2="US$",_xlfn.XLOOKUP(CurrencyModifier!A1444,Prices!A:A,Prices!E:E,"MISSING")))</f>
        <v>0.73899999999999999</v>
      </c>
    </row>
    <row r="1445" spans="1:2">
      <c r="A1445" t="str">
        <f>Prices!A1451</f>
        <v>41120-18</v>
      </c>
      <c r="B1445" s="470">
        <f>IF('Flow Indicator Parts List'!$D$2="CDN$",_xlfn.XLOOKUP(A1445,Prices!A:A,Prices!D:D),IF('Flow Indicator Parts List'!$D$2="US$",_xlfn.XLOOKUP(CurrencyModifier!A1445,Prices!A:A,Prices!E:E,"MISSING")))</f>
        <v>0.307</v>
      </c>
    </row>
    <row r="1446" spans="1:2">
      <c r="A1446" t="str">
        <f>Prices!A1452</f>
        <v>41125-00</v>
      </c>
      <c r="B1446" s="470">
        <f>IF('Flow Indicator Parts List'!$D$2="CDN$",_xlfn.XLOOKUP(A1446,Prices!A:A,Prices!D:D),IF('Flow Indicator Parts List'!$D$2="US$",_xlfn.XLOOKUP(CurrencyModifier!A1446,Prices!A:A,Prices!E:E,"MISSING")))</f>
        <v>17.161000000000001</v>
      </c>
    </row>
    <row r="1447" spans="1:2">
      <c r="A1447" t="str">
        <f>Prices!A1453</f>
        <v>41125-01</v>
      </c>
      <c r="B1447" s="470">
        <f>IF('Flow Indicator Parts List'!$D$2="CDN$",_xlfn.XLOOKUP(A1447,Prices!A:A,Prices!D:D),IF('Flow Indicator Parts List'!$D$2="US$",_xlfn.XLOOKUP(CurrencyModifier!A1447,Prices!A:A,Prices!E:E,"MISSING")))</f>
        <v>14.315</v>
      </c>
    </row>
    <row r="1448" spans="1:2">
      <c r="A1448" t="str">
        <f>Prices!A1454</f>
        <v>41125-02</v>
      </c>
      <c r="B1448" s="470">
        <f>IF('Flow Indicator Parts List'!$D$2="CDN$",_xlfn.XLOOKUP(A1448,Prices!A:A,Prices!D:D),IF('Flow Indicator Parts List'!$D$2="US$",_xlfn.XLOOKUP(CurrencyModifier!A1448,Prices!A:A,Prices!E:E,"MISSING")))</f>
        <v>2.7149999999999999</v>
      </c>
    </row>
    <row r="1449" spans="1:2">
      <c r="A1449" t="str">
        <f>Prices!A1455</f>
        <v>41125-03</v>
      </c>
      <c r="B1449" s="470">
        <f>IF('Flow Indicator Parts List'!$D$2="CDN$",_xlfn.XLOOKUP(A1449,Prices!A:A,Prices!D:D),IF('Flow Indicator Parts List'!$D$2="US$",_xlfn.XLOOKUP(CurrencyModifier!A1449,Prices!A:A,Prices!E:E,"MISSING")))</f>
        <v>2.5030000000000001</v>
      </c>
    </row>
    <row r="1450" spans="1:2">
      <c r="A1450" t="str">
        <f>Prices!A1456</f>
        <v>41125-04</v>
      </c>
      <c r="B1450" s="470">
        <f>IF('Flow Indicator Parts List'!$D$2="CDN$",_xlfn.XLOOKUP(A1450,Prices!A:A,Prices!D:D),IF('Flow Indicator Parts List'!$D$2="US$",_xlfn.XLOOKUP(CurrencyModifier!A1450,Prices!A:A,Prices!E:E,"MISSING")))</f>
        <v>0.19900000000000001</v>
      </c>
    </row>
    <row r="1451" spans="1:2">
      <c r="A1451" t="str">
        <f>Prices!A1457</f>
        <v>41125-V4</v>
      </c>
      <c r="B1451" s="470">
        <f>IF('Flow Indicator Parts List'!$D$2="CDN$",_xlfn.XLOOKUP(A1451,Prices!A:A,Prices!D:D),IF('Flow Indicator Parts List'!$D$2="US$",_xlfn.XLOOKUP(CurrencyModifier!A1451,Prices!A:A,Prices!E:E,"MISSING")))</f>
        <v>2.746</v>
      </c>
    </row>
    <row r="1452" spans="1:2">
      <c r="A1452" t="str">
        <f>Prices!A1458</f>
        <v>41126-00</v>
      </c>
      <c r="B1452" s="470">
        <f>IF('Flow Indicator Parts List'!$D$2="CDN$",_xlfn.XLOOKUP(A1452,Prices!A:A,Prices!D:D),IF('Flow Indicator Parts List'!$D$2="US$",_xlfn.XLOOKUP(CurrencyModifier!A1452,Prices!A:A,Prices!E:E,"MISSING")))</f>
        <v>16.196999999999999</v>
      </c>
    </row>
    <row r="1453" spans="1:2">
      <c r="A1453" t="str">
        <f>Prices!A1459</f>
        <v>41127-00</v>
      </c>
      <c r="B1453" s="470">
        <f>IF('Flow Indicator Parts List'!$D$2="CDN$",_xlfn.XLOOKUP(A1453,Prices!A:A,Prices!D:D),IF('Flow Indicator Parts List'!$D$2="US$",_xlfn.XLOOKUP(CurrencyModifier!A1453,Prices!A:A,Prices!E:E,"MISSING")))</f>
        <v>16.344000000000001</v>
      </c>
    </row>
    <row r="1454" spans="1:2">
      <c r="A1454" t="str">
        <f>Prices!A1460</f>
        <v>41130-00</v>
      </c>
      <c r="B1454" s="470">
        <f>IF('Flow Indicator Parts List'!$D$2="CDN$",_xlfn.XLOOKUP(A1454,Prices!A:A,Prices!D:D),IF('Flow Indicator Parts List'!$D$2="US$",_xlfn.XLOOKUP(CurrencyModifier!A1454,Prices!A:A,Prices!E:E,"MISSING")))</f>
        <v>24.039000000000001</v>
      </c>
    </row>
    <row r="1455" spans="1:2">
      <c r="A1455" t="str">
        <f>Prices!A1461</f>
        <v>41130-01</v>
      </c>
      <c r="B1455" s="470">
        <f>IF('Flow Indicator Parts List'!$D$2="CDN$",_xlfn.XLOOKUP(A1455,Prices!A:A,Prices!D:D),IF('Flow Indicator Parts List'!$D$2="US$",_xlfn.XLOOKUP(CurrencyModifier!A1455,Prices!A:A,Prices!E:E,"MISSING")))</f>
        <v>14.933</v>
      </c>
    </row>
    <row r="1456" spans="1:2">
      <c r="A1456" t="str">
        <f>Prices!A1462</f>
        <v>41130-02</v>
      </c>
      <c r="B1456" s="470">
        <f>IF('Flow Indicator Parts List'!$D$2="CDN$",_xlfn.XLOOKUP(A1456,Prices!A:A,Prices!D:D),IF('Flow Indicator Parts List'!$D$2="US$",_xlfn.XLOOKUP(CurrencyModifier!A1456,Prices!A:A,Prices!E:E,"MISSING")))</f>
        <v>2.4620000000000002</v>
      </c>
    </row>
    <row r="1457" spans="1:2">
      <c r="A1457" t="str">
        <f>Prices!A1463</f>
        <v>41130-03</v>
      </c>
      <c r="B1457" s="470">
        <f>IF('Flow Indicator Parts List'!$D$2="CDN$",_xlfn.XLOOKUP(A1457,Prices!A:A,Prices!D:D),IF('Flow Indicator Parts List'!$D$2="US$",_xlfn.XLOOKUP(CurrencyModifier!A1457,Prices!A:A,Prices!E:E,"MISSING")))</f>
        <v>2.6720000000000002</v>
      </c>
    </row>
    <row r="1458" spans="1:2">
      <c r="A1458" t="str">
        <f>Prices!A1464</f>
        <v>41130-04</v>
      </c>
      <c r="B1458" s="470">
        <f>IF('Flow Indicator Parts List'!$D$2="CDN$",_xlfn.XLOOKUP(A1458,Prices!A:A,Prices!D:D),IF('Flow Indicator Parts List'!$D$2="US$",_xlfn.XLOOKUP(CurrencyModifier!A1458,Prices!A:A,Prices!E:E,"MISSING")))</f>
        <v>2.004</v>
      </c>
    </row>
    <row r="1459" spans="1:2">
      <c r="A1459" t="str">
        <f>Prices!A1465</f>
        <v>41130-05</v>
      </c>
      <c r="B1459" s="470">
        <f>IF('Flow Indicator Parts List'!$D$2="CDN$",_xlfn.XLOOKUP(A1459,Prices!A:A,Prices!D:D),IF('Flow Indicator Parts List'!$D$2="US$",_xlfn.XLOOKUP(CurrencyModifier!A1459,Prices!A:A,Prices!E:E,"MISSING")))</f>
        <v>1.9339999999999999</v>
      </c>
    </row>
    <row r="1460" spans="1:2">
      <c r="A1460" t="str">
        <f>Prices!A1466</f>
        <v>41130-06</v>
      </c>
      <c r="B1460" s="470">
        <f>IF('Flow Indicator Parts List'!$D$2="CDN$",_xlfn.XLOOKUP(A1460,Prices!A:A,Prices!D:D),IF('Flow Indicator Parts List'!$D$2="US$",_xlfn.XLOOKUP(CurrencyModifier!A1460,Prices!A:A,Prices!E:E,"MISSING")))</f>
        <v>2.3650000000000002</v>
      </c>
    </row>
    <row r="1461" spans="1:2">
      <c r="A1461" t="str">
        <f>Prices!A1467</f>
        <v>41131-00</v>
      </c>
      <c r="B1461" s="470">
        <f>IF('Flow Indicator Parts List'!$D$2="CDN$",_xlfn.XLOOKUP(A1461,Prices!A:A,Prices!D:D),IF('Flow Indicator Parts List'!$D$2="US$",_xlfn.XLOOKUP(CurrencyModifier!A1461,Prices!A:A,Prices!E:E,"MISSING")))</f>
        <v>22.497</v>
      </c>
    </row>
    <row r="1462" spans="1:2">
      <c r="A1462" t="str">
        <f>Prices!A1468</f>
        <v>41133-00</v>
      </c>
      <c r="B1462" s="470">
        <f>IF('Flow Indicator Parts List'!$D$2="CDN$",_xlfn.XLOOKUP(A1462,Prices!A:A,Prices!D:D),IF('Flow Indicator Parts List'!$D$2="US$",_xlfn.XLOOKUP(CurrencyModifier!A1462,Prices!A:A,Prices!E:E,"MISSING")))</f>
        <v>7.9459999999999997</v>
      </c>
    </row>
    <row r="1463" spans="1:2">
      <c r="A1463" t="str">
        <f>Prices!A1469</f>
        <v>41133-01</v>
      </c>
      <c r="B1463" s="470">
        <f>IF('Flow Indicator Parts List'!$D$2="CDN$",_xlfn.XLOOKUP(A1463,Prices!A:A,Prices!D:D),IF('Flow Indicator Parts List'!$D$2="US$",_xlfn.XLOOKUP(CurrencyModifier!A1463,Prices!A:A,Prices!E:E,"MISSING")))</f>
        <v>1.9359999999999999</v>
      </c>
    </row>
    <row r="1464" spans="1:2">
      <c r="A1464" t="str">
        <f>Prices!A1470</f>
        <v>41134-00</v>
      </c>
      <c r="B1464" s="470">
        <f>IF('Flow Indicator Parts List'!$D$2="CDN$",_xlfn.XLOOKUP(A1464,Prices!A:A,Prices!D:D),IF('Flow Indicator Parts List'!$D$2="US$",_xlfn.XLOOKUP(CurrencyModifier!A1464,Prices!A:A,Prices!E:E,"MISSING")))</f>
        <v>3.99</v>
      </c>
    </row>
    <row r="1465" spans="1:2">
      <c r="A1465" t="str">
        <f>Prices!A1471</f>
        <v>41135-00</v>
      </c>
      <c r="B1465" s="470">
        <f>IF('Flow Indicator Parts List'!$D$2="CDN$",_xlfn.XLOOKUP(A1465,Prices!A:A,Prices!D:D),IF('Flow Indicator Parts List'!$D$2="US$",_xlfn.XLOOKUP(CurrencyModifier!A1465,Prices!A:A,Prices!E:E,"MISSING")))</f>
        <v>5.3440000000000003</v>
      </c>
    </row>
    <row r="1466" spans="1:2">
      <c r="A1466" t="str">
        <f>Prices!A1472</f>
        <v>41136-00</v>
      </c>
      <c r="B1466" s="470">
        <f>IF('Flow Indicator Parts List'!$D$2="CDN$",_xlfn.XLOOKUP(A1466,Prices!A:A,Prices!D:D),IF('Flow Indicator Parts List'!$D$2="US$",_xlfn.XLOOKUP(CurrencyModifier!A1466,Prices!A:A,Prices!E:E,"MISSING")))</f>
        <v>3.99</v>
      </c>
    </row>
    <row r="1467" spans="1:2">
      <c r="A1467" t="str">
        <f>Prices!A1473</f>
        <v>41137-00</v>
      </c>
      <c r="B1467" s="470">
        <f>IF('Flow Indicator Parts List'!$D$2="CDN$",_xlfn.XLOOKUP(A1467,Prices!A:A,Prices!D:D),IF('Flow Indicator Parts List'!$D$2="US$",_xlfn.XLOOKUP(CurrencyModifier!A1467,Prices!A:A,Prices!E:E,"MISSING")))</f>
        <v>10.592000000000001</v>
      </c>
    </row>
    <row r="1468" spans="1:2">
      <c r="A1468" t="str">
        <f>Prices!A1474</f>
        <v>41150-00</v>
      </c>
      <c r="B1468" s="470">
        <f>IF('Flow Indicator Parts List'!$D$2="CDN$",_xlfn.XLOOKUP(A1468,Prices!A:A,Prices!D:D),IF('Flow Indicator Parts List'!$D$2="US$",_xlfn.XLOOKUP(CurrencyModifier!A1468,Prices!A:A,Prices!E:E,"MISSING")))</f>
        <v>3.488</v>
      </c>
    </row>
    <row r="1469" spans="1:2">
      <c r="A1469" t="str">
        <f>Prices!A1475</f>
        <v>41151-00</v>
      </c>
      <c r="B1469" s="470">
        <f>IF('Flow Indicator Parts List'!$D$2="CDN$",_xlfn.XLOOKUP(A1469,Prices!A:A,Prices!D:D),IF('Flow Indicator Parts List'!$D$2="US$",_xlfn.XLOOKUP(CurrencyModifier!A1469,Prices!A:A,Prices!E:E,"MISSING")))</f>
        <v>3.488</v>
      </c>
    </row>
    <row r="1470" spans="1:2">
      <c r="A1470" t="str">
        <f>Prices!A1476</f>
        <v>41152-00</v>
      </c>
      <c r="B1470" s="470">
        <f>IF('Flow Indicator Parts List'!$D$2="CDN$",_xlfn.XLOOKUP(A1470,Prices!A:A,Prices!D:D),IF('Flow Indicator Parts List'!$D$2="US$",_xlfn.XLOOKUP(CurrencyModifier!A1470,Prices!A:A,Prices!E:E,"MISSING")))</f>
        <v>3.488</v>
      </c>
    </row>
    <row r="1471" spans="1:2">
      <c r="A1471" t="str">
        <f>Prices!A1477</f>
        <v>41200-00</v>
      </c>
      <c r="B1471" s="470">
        <f>IF('Flow Indicator Parts List'!$D$2="CDN$",_xlfn.XLOOKUP(A1471,Prices!A:A,Prices!D:D),IF('Flow Indicator Parts List'!$D$2="US$",_xlfn.XLOOKUP(CurrencyModifier!A1471,Prices!A:A,Prices!E:E,"MISSING")))</f>
        <v>8.141</v>
      </c>
    </row>
    <row r="1472" spans="1:2">
      <c r="A1472" t="str">
        <f>Prices!A1478</f>
        <v>41200-01</v>
      </c>
      <c r="B1472" s="470">
        <f>IF('Flow Indicator Parts List'!$D$2="CDN$",_xlfn.XLOOKUP(A1472,Prices!A:A,Prices!D:D),IF('Flow Indicator Parts List'!$D$2="US$",_xlfn.XLOOKUP(CurrencyModifier!A1472,Prices!A:A,Prices!E:E,"MISSING")))</f>
        <v>2.4489999999999998</v>
      </c>
    </row>
    <row r="1473" spans="1:2">
      <c r="A1473" t="str">
        <f>Prices!A1479</f>
        <v>41200-02</v>
      </c>
      <c r="B1473" s="470">
        <f>IF('Flow Indicator Parts List'!$D$2="CDN$",_xlfn.XLOOKUP(A1473,Prices!A:A,Prices!D:D),IF('Flow Indicator Parts List'!$D$2="US$",_xlfn.XLOOKUP(CurrencyModifier!A1473,Prices!A:A,Prices!E:E,"MISSING")))</f>
        <v>2.1150000000000002</v>
      </c>
    </row>
    <row r="1474" spans="1:2">
      <c r="A1474" t="str">
        <f>Prices!A1480</f>
        <v>41200-03</v>
      </c>
      <c r="B1474" s="470">
        <f>IF('Flow Indicator Parts List'!$D$2="CDN$",_xlfn.XLOOKUP(A1474,Prices!A:A,Prices!D:D),IF('Flow Indicator Parts List'!$D$2="US$",_xlfn.XLOOKUP(CurrencyModifier!A1474,Prices!A:A,Prices!E:E,"MISSING")))</f>
        <v>0.36</v>
      </c>
    </row>
    <row r="1475" spans="1:2">
      <c r="A1475" t="str">
        <f>Prices!A1481</f>
        <v>41200-04</v>
      </c>
      <c r="B1475" s="470">
        <f>IF('Flow Indicator Parts List'!$D$2="CDN$",_xlfn.XLOOKUP(A1475,Prices!A:A,Prices!D:D),IF('Flow Indicator Parts List'!$D$2="US$",_xlfn.XLOOKUP(CurrencyModifier!A1475,Prices!A:A,Prices!E:E,"MISSING")))</f>
        <v>0.156</v>
      </c>
    </row>
    <row r="1476" spans="1:2">
      <c r="A1476" t="str">
        <f>Prices!A1482</f>
        <v>41201-00</v>
      </c>
      <c r="B1476" s="470">
        <f>IF('Flow Indicator Parts List'!$D$2="CDN$",_xlfn.XLOOKUP(A1476,Prices!A:A,Prices!D:D),IF('Flow Indicator Parts List'!$D$2="US$",_xlfn.XLOOKUP(CurrencyModifier!A1476,Prices!A:A,Prices!E:E,"MISSING")))</f>
        <v>8.141</v>
      </c>
    </row>
    <row r="1477" spans="1:2">
      <c r="A1477" t="str">
        <f>Prices!A1483</f>
        <v>41201-01</v>
      </c>
      <c r="B1477" s="470">
        <f>IF('Flow Indicator Parts List'!$D$2="CDN$",_xlfn.XLOOKUP(A1477,Prices!A:A,Prices!D:D),IF('Flow Indicator Parts List'!$D$2="US$",_xlfn.XLOOKUP(CurrencyModifier!A1477,Prices!A:A,Prices!E:E,"MISSING")))</f>
        <v>2.4489999999999998</v>
      </c>
    </row>
    <row r="1478" spans="1:2">
      <c r="A1478" t="str">
        <f>Prices!A1484</f>
        <v>41202-00</v>
      </c>
      <c r="B1478" s="470">
        <f>IF('Flow Indicator Parts List'!$D$2="CDN$",_xlfn.XLOOKUP(A1478,Prices!A:A,Prices!D:D),IF('Flow Indicator Parts List'!$D$2="US$",_xlfn.XLOOKUP(CurrencyModifier!A1478,Prices!A:A,Prices!E:E,"MISSING")))</f>
        <v>8.141</v>
      </c>
    </row>
    <row r="1479" spans="1:2">
      <c r="A1479" t="str">
        <f>Prices!A1485</f>
        <v>41202-01</v>
      </c>
      <c r="B1479" s="470">
        <f>IF('Flow Indicator Parts List'!$D$2="CDN$",_xlfn.XLOOKUP(A1479,Prices!A:A,Prices!D:D),IF('Flow Indicator Parts List'!$D$2="US$",_xlfn.XLOOKUP(CurrencyModifier!A1479,Prices!A:A,Prices!E:E,"MISSING")))</f>
        <v>2.1150000000000002</v>
      </c>
    </row>
    <row r="1480" spans="1:2">
      <c r="A1480" t="str">
        <f>Prices!A1486</f>
        <v>41202-02</v>
      </c>
      <c r="B1480" s="470">
        <f>IF('Flow Indicator Parts List'!$D$2="CDN$",_xlfn.XLOOKUP(A1480,Prices!A:A,Prices!D:D),IF('Flow Indicator Parts List'!$D$2="US$",_xlfn.XLOOKUP(CurrencyModifier!A1480,Prices!A:A,Prices!E:E,"MISSING")))</f>
        <v>2.1150000000000002</v>
      </c>
    </row>
    <row r="1481" spans="1:2">
      <c r="A1481" t="str">
        <f>Prices!A1487</f>
        <v>41203-00</v>
      </c>
      <c r="B1481" s="470">
        <f>IF('Flow Indicator Parts List'!$D$2="CDN$",_xlfn.XLOOKUP(A1481,Prices!A:A,Prices!D:D),IF('Flow Indicator Parts List'!$D$2="US$",_xlfn.XLOOKUP(CurrencyModifier!A1481,Prices!A:A,Prices!E:E,"MISSING")))</f>
        <v>8.141</v>
      </c>
    </row>
    <row r="1482" spans="1:2">
      <c r="A1482" t="str">
        <f>Prices!A1488</f>
        <v>41203-01</v>
      </c>
      <c r="B1482" s="470">
        <f>IF('Flow Indicator Parts List'!$D$2="CDN$",_xlfn.XLOOKUP(A1482,Prices!A:A,Prices!D:D),IF('Flow Indicator Parts List'!$D$2="US$",_xlfn.XLOOKUP(CurrencyModifier!A1482,Prices!A:A,Prices!E:E,"MISSING")))</f>
        <v>2.4489999999999998</v>
      </c>
    </row>
    <row r="1483" spans="1:2">
      <c r="A1483" t="str">
        <f>Prices!A1489</f>
        <v>41203-02</v>
      </c>
      <c r="B1483" s="470">
        <f>IF('Flow Indicator Parts List'!$D$2="CDN$",_xlfn.XLOOKUP(A1483,Prices!A:A,Prices!D:D),IF('Flow Indicator Parts List'!$D$2="US$",_xlfn.XLOOKUP(CurrencyModifier!A1483,Prices!A:A,Prices!E:E,"MISSING")))</f>
        <v>2.1150000000000002</v>
      </c>
    </row>
    <row r="1484" spans="1:2">
      <c r="A1484" t="str">
        <f>Prices!A1490</f>
        <v>41204-00</v>
      </c>
      <c r="B1484" s="470">
        <f>IF('Flow Indicator Parts List'!$D$2="CDN$",_xlfn.XLOOKUP(A1484,Prices!A:A,Prices!D:D),IF('Flow Indicator Parts List'!$D$2="US$",_xlfn.XLOOKUP(CurrencyModifier!A1484,Prices!A:A,Prices!E:E,"MISSING")))</f>
        <v>8.141</v>
      </c>
    </row>
    <row r="1485" spans="1:2">
      <c r="A1485" t="str">
        <f>Prices!A1491</f>
        <v>41206-00</v>
      </c>
      <c r="B1485" s="470">
        <f>IF('Flow Indicator Parts List'!$D$2="CDN$",_xlfn.XLOOKUP(A1485,Prices!A:A,Prices!D:D),IF('Flow Indicator Parts List'!$D$2="US$",_xlfn.XLOOKUP(CurrencyModifier!A1485,Prices!A:A,Prices!E:E,"MISSING")))</f>
        <v>9.4629999999999992</v>
      </c>
    </row>
    <row r="1486" spans="1:2">
      <c r="A1486" t="str">
        <f>Prices!A1492</f>
        <v>41206-01</v>
      </c>
      <c r="B1486" s="470">
        <f>IF('Flow Indicator Parts List'!$D$2="CDN$",_xlfn.XLOOKUP(A1486,Prices!A:A,Prices!D:D),IF('Flow Indicator Parts List'!$D$2="US$",_xlfn.XLOOKUP(CurrencyModifier!A1486,Prices!A:A,Prices!E:E,"MISSING")))</f>
        <v>2.9359999999999999</v>
      </c>
    </row>
    <row r="1487" spans="1:2">
      <c r="A1487" t="str">
        <f>Prices!A1493</f>
        <v>41206-02</v>
      </c>
      <c r="B1487" s="470">
        <f>IF('Flow Indicator Parts List'!$D$2="CDN$",_xlfn.XLOOKUP(A1487,Prices!A:A,Prices!D:D),IF('Flow Indicator Parts List'!$D$2="US$",_xlfn.XLOOKUP(CurrencyModifier!A1487,Prices!A:A,Prices!E:E,"MISSING")))</f>
        <v>2.8119999999999998</v>
      </c>
    </row>
    <row r="1488" spans="1:2">
      <c r="A1488" t="str">
        <f>Prices!A1494</f>
        <v>41206-03</v>
      </c>
      <c r="B1488" s="470">
        <f>IF('Flow Indicator Parts List'!$D$2="CDN$",_xlfn.XLOOKUP(A1488,Prices!A:A,Prices!D:D),IF('Flow Indicator Parts List'!$D$2="US$",_xlfn.XLOOKUP(CurrencyModifier!A1488,Prices!A:A,Prices!E:E,"MISSING")))</f>
        <v>0.36</v>
      </c>
    </row>
    <row r="1489" spans="1:2">
      <c r="A1489" t="str">
        <f>Prices!A1495</f>
        <v>41208-00</v>
      </c>
      <c r="B1489" s="470">
        <f>IF('Flow Indicator Parts List'!$D$2="CDN$",_xlfn.XLOOKUP(A1489,Prices!A:A,Prices!D:D),IF('Flow Indicator Parts List'!$D$2="US$",_xlfn.XLOOKUP(CurrencyModifier!A1489,Prices!A:A,Prices!E:E,"MISSING")))</f>
        <v>12.068</v>
      </c>
    </row>
    <row r="1490" spans="1:2">
      <c r="A1490" t="str">
        <f>Prices!A1496</f>
        <v>41210-03</v>
      </c>
      <c r="B1490" s="470">
        <f>IF('Flow Indicator Parts List'!$D$2="CDN$",_xlfn.XLOOKUP(A1490,Prices!A:A,Prices!D:D),IF('Flow Indicator Parts List'!$D$2="US$",_xlfn.XLOOKUP(CurrencyModifier!A1490,Prices!A:A,Prices!E:E,"MISSING")))</f>
        <v>0.80600000000000005</v>
      </c>
    </row>
    <row r="1491" spans="1:2">
      <c r="A1491" t="str">
        <f>Prices!A1497</f>
        <v>41210-V3</v>
      </c>
      <c r="B1491" s="470">
        <f>IF('Flow Indicator Parts List'!$D$2="CDN$",_xlfn.XLOOKUP(A1491,Prices!A:A,Prices!D:D),IF('Flow Indicator Parts List'!$D$2="US$",_xlfn.XLOOKUP(CurrencyModifier!A1491,Prices!A:A,Prices!E:E,"MISSING")))</f>
        <v>2.597</v>
      </c>
    </row>
    <row r="1492" spans="1:2">
      <c r="A1492" t="str">
        <f>Prices!A1498</f>
        <v>41250-00</v>
      </c>
      <c r="B1492" s="470">
        <f>IF('Flow Indicator Parts List'!$D$2="CDN$",_xlfn.XLOOKUP(A1492,Prices!A:A,Prices!D:D),IF('Flow Indicator Parts List'!$D$2="US$",_xlfn.XLOOKUP(CurrencyModifier!A1492,Prices!A:A,Prices!E:E,"MISSING")))</f>
        <v>8.0259999999999998</v>
      </c>
    </row>
    <row r="1493" spans="1:2">
      <c r="A1493" t="str">
        <f>Prices!A1499</f>
        <v>41250-01</v>
      </c>
      <c r="B1493" s="470">
        <f>IF('Flow Indicator Parts List'!$D$2="CDN$",_xlfn.XLOOKUP(A1493,Prices!A:A,Prices!D:D),IF('Flow Indicator Parts List'!$D$2="US$",_xlfn.XLOOKUP(CurrencyModifier!A1493,Prices!A:A,Prices!E:E,"MISSING")))</f>
        <v>2.157</v>
      </c>
    </row>
    <row r="1494" spans="1:2">
      <c r="A1494" t="str">
        <f>Prices!A1500</f>
        <v>41251-00</v>
      </c>
      <c r="B1494" s="470">
        <f>IF('Flow Indicator Parts List'!$D$2="CDN$",_xlfn.XLOOKUP(A1494,Prices!A:A,Prices!D:D),IF('Flow Indicator Parts List'!$D$2="US$",_xlfn.XLOOKUP(CurrencyModifier!A1494,Prices!A:A,Prices!E:E,"MISSING")))</f>
        <v>5.569</v>
      </c>
    </row>
    <row r="1495" spans="1:2">
      <c r="A1495" t="str">
        <f>Prices!A1501</f>
        <v>41251-01</v>
      </c>
      <c r="B1495" s="470">
        <f>IF('Flow Indicator Parts List'!$D$2="CDN$",_xlfn.XLOOKUP(A1495,Prices!A:A,Prices!D:D),IF('Flow Indicator Parts List'!$D$2="US$",_xlfn.XLOOKUP(CurrencyModifier!A1495,Prices!A:A,Prices!E:E,"MISSING")))</f>
        <v>2.8380000000000001</v>
      </c>
    </row>
    <row r="1496" spans="1:2">
      <c r="A1496" t="str">
        <f>Prices!A1502</f>
        <v>41252-00</v>
      </c>
      <c r="B1496" s="470">
        <f>IF('Flow Indicator Parts List'!$D$2="CDN$",_xlfn.XLOOKUP(A1496,Prices!A:A,Prices!D:D),IF('Flow Indicator Parts List'!$D$2="US$",_xlfn.XLOOKUP(CurrencyModifier!A1496,Prices!A:A,Prices!E:E,"MISSING")))</f>
        <v>3.1989999999999998</v>
      </c>
    </row>
    <row r="1497" spans="1:2">
      <c r="A1497" t="str">
        <f>Prices!A1503</f>
        <v>41252-01</v>
      </c>
      <c r="B1497" s="470">
        <f>IF('Flow Indicator Parts List'!$D$2="CDN$",_xlfn.XLOOKUP(A1497,Prices!A:A,Prices!D:D),IF('Flow Indicator Parts List'!$D$2="US$",_xlfn.XLOOKUP(CurrencyModifier!A1497,Prices!A:A,Prices!E:E,"MISSING")))</f>
        <v>1.948</v>
      </c>
    </row>
    <row r="1498" spans="1:2">
      <c r="A1498" t="str">
        <f>Prices!A1504</f>
        <v>41253-00</v>
      </c>
      <c r="B1498" s="470">
        <f>IF('Flow Indicator Parts List'!$D$2="CDN$",_xlfn.XLOOKUP(A1498,Prices!A:A,Prices!D:D),IF('Flow Indicator Parts List'!$D$2="US$",_xlfn.XLOOKUP(CurrencyModifier!A1498,Prices!A:A,Prices!E:E,"MISSING")))</f>
        <v>3.1989999999999998</v>
      </c>
    </row>
    <row r="1499" spans="1:2">
      <c r="A1499" t="str">
        <f>Prices!A1505</f>
        <v>41253-01</v>
      </c>
      <c r="B1499" s="470">
        <f>IF('Flow Indicator Parts List'!$D$2="CDN$",_xlfn.XLOOKUP(A1499,Prices!A:A,Prices!D:D),IF('Flow Indicator Parts List'!$D$2="US$",_xlfn.XLOOKUP(CurrencyModifier!A1499,Prices!A:A,Prices!E:E,"MISSING")))</f>
        <v>1.9890000000000001</v>
      </c>
    </row>
    <row r="1500" spans="1:2">
      <c r="A1500" t="str">
        <f>Prices!A1506</f>
        <v>41255-00</v>
      </c>
      <c r="B1500" s="470">
        <f>IF('Flow Indicator Parts List'!$D$2="CDN$",_xlfn.XLOOKUP(A1500,Prices!A:A,Prices!D:D),IF('Flow Indicator Parts List'!$D$2="US$",_xlfn.XLOOKUP(CurrencyModifier!A1500,Prices!A:A,Prices!E:E,"MISSING")))</f>
        <v>4.6689999999999996</v>
      </c>
    </row>
    <row r="1501" spans="1:2">
      <c r="A1501" t="str">
        <f>Prices!A1507</f>
        <v>41255-01</v>
      </c>
      <c r="B1501" s="470">
        <f>IF('Flow Indicator Parts List'!$D$2="CDN$",_xlfn.XLOOKUP(A1501,Prices!A:A,Prices!D:D),IF('Flow Indicator Parts List'!$D$2="US$",_xlfn.XLOOKUP(CurrencyModifier!A1501,Prices!A:A,Prices!E:E,"MISSING")))</f>
        <v>2.129</v>
      </c>
    </row>
    <row r="1502" spans="1:2">
      <c r="A1502" t="str">
        <f>Prices!A1508</f>
        <v>41256-00</v>
      </c>
      <c r="B1502" s="470">
        <f>IF('Flow Indicator Parts List'!$D$2="CDN$",_xlfn.XLOOKUP(A1502,Prices!A:A,Prices!D:D),IF('Flow Indicator Parts List'!$D$2="US$",_xlfn.XLOOKUP(CurrencyModifier!A1502,Prices!A:A,Prices!E:E,"MISSING")))</f>
        <v>4.6689999999999996</v>
      </c>
    </row>
    <row r="1503" spans="1:2">
      <c r="A1503" t="str">
        <f>Prices!A1509</f>
        <v>41256-01</v>
      </c>
      <c r="B1503" s="470">
        <f>IF('Flow Indicator Parts List'!$D$2="CDN$",_xlfn.XLOOKUP(A1503,Prices!A:A,Prices!D:D),IF('Flow Indicator Parts List'!$D$2="US$",_xlfn.XLOOKUP(CurrencyModifier!A1503,Prices!A:A,Prices!E:E,"MISSING")))</f>
        <v>2.1150000000000002</v>
      </c>
    </row>
    <row r="1504" spans="1:2">
      <c r="A1504" t="str">
        <f>Prices!A1510</f>
        <v>41261-00</v>
      </c>
      <c r="B1504" s="470">
        <f>IF('Flow Indicator Parts List'!$D$2="CDN$",_xlfn.XLOOKUP(A1504,Prices!A:A,Prices!D:D),IF('Flow Indicator Parts List'!$D$2="US$",_xlfn.XLOOKUP(CurrencyModifier!A1504,Prices!A:A,Prices!E:E,"MISSING")))</f>
        <v>7.4480000000000004</v>
      </c>
    </row>
    <row r="1505" spans="1:2">
      <c r="A1505" t="str">
        <f>Prices!A1511</f>
        <v>41261-01</v>
      </c>
      <c r="B1505" s="470">
        <f>IF('Flow Indicator Parts List'!$D$2="CDN$",_xlfn.XLOOKUP(A1505,Prices!A:A,Prices!D:D),IF('Flow Indicator Parts List'!$D$2="US$",_xlfn.XLOOKUP(CurrencyModifier!A1505,Prices!A:A,Prices!E:E,"MISSING")))</f>
        <v>3.7240000000000002</v>
      </c>
    </row>
    <row r="1506" spans="1:2">
      <c r="A1506" t="str">
        <f>Prices!A1512</f>
        <v>41261-01S</v>
      </c>
      <c r="B1506" s="470">
        <f>IF('Flow Indicator Parts List'!$D$2="CDN$",_xlfn.XLOOKUP(A1506,Prices!A:A,Prices!D:D),IF('Flow Indicator Parts List'!$D$2="US$",_xlfn.XLOOKUP(CurrencyModifier!A1506,Prices!A:A,Prices!E:E,"MISSING")))</f>
        <v>14.391</v>
      </c>
    </row>
    <row r="1507" spans="1:2">
      <c r="A1507" t="str">
        <f>Prices!A1513</f>
        <v>41261-02</v>
      </c>
      <c r="B1507" s="470">
        <f>IF('Flow Indicator Parts List'!$D$2="CDN$",_xlfn.XLOOKUP(A1507,Prices!A:A,Prices!D:D),IF('Flow Indicator Parts List'!$D$2="US$",_xlfn.XLOOKUP(CurrencyModifier!A1507,Prices!A:A,Prices!E:E,"MISSING")))</f>
        <v>2.9780000000000002</v>
      </c>
    </row>
    <row r="1508" spans="1:2">
      <c r="A1508" t="str">
        <f>Prices!A1514</f>
        <v>41261-02S</v>
      </c>
      <c r="B1508" s="470">
        <f>IF('Flow Indicator Parts List'!$D$2="CDN$",_xlfn.XLOOKUP(A1508,Prices!A:A,Prices!D:D),IF('Flow Indicator Parts List'!$D$2="US$",_xlfn.XLOOKUP(CurrencyModifier!A1508,Prices!A:A,Prices!E:E,"MISSING")))</f>
        <v>12.435</v>
      </c>
    </row>
    <row r="1509" spans="1:2">
      <c r="A1509" t="str">
        <f>Prices!A1515</f>
        <v>41261-SS</v>
      </c>
      <c r="B1509" s="470">
        <f>IF('Flow Indicator Parts List'!$D$2="CDN$",_xlfn.XLOOKUP(A1509,Prices!A:A,Prices!D:D),IF('Flow Indicator Parts List'!$D$2="US$",_xlfn.XLOOKUP(CurrencyModifier!A1509,Prices!A:A,Prices!E:E,"MISSING")))</f>
        <v>22.734999999999999</v>
      </c>
    </row>
    <row r="1510" spans="1:2">
      <c r="A1510" t="str">
        <f>Prices!A1516</f>
        <v>41262-00</v>
      </c>
      <c r="B1510" s="470">
        <f>IF('Flow Indicator Parts List'!$D$2="CDN$",_xlfn.XLOOKUP(A1510,Prices!A:A,Prices!D:D),IF('Flow Indicator Parts List'!$D$2="US$",_xlfn.XLOOKUP(CurrencyModifier!A1510,Prices!A:A,Prices!E:E,"MISSING")))</f>
        <v>7.4480000000000004</v>
      </c>
    </row>
    <row r="1511" spans="1:2">
      <c r="A1511" t="str">
        <f>Prices!A1517</f>
        <v>41262-01</v>
      </c>
      <c r="B1511" s="470">
        <f>IF('Flow Indicator Parts List'!$D$2="CDN$",_xlfn.XLOOKUP(A1511,Prices!A:A,Prices!D:D),IF('Flow Indicator Parts List'!$D$2="US$",_xlfn.XLOOKUP(CurrencyModifier!A1511,Prices!A:A,Prices!E:E,"MISSING")))</f>
        <v>3.7240000000000002</v>
      </c>
    </row>
    <row r="1512" spans="1:2">
      <c r="A1512" t="str">
        <f>Prices!A1518</f>
        <v>41262-01S</v>
      </c>
      <c r="B1512" s="470">
        <f>IF('Flow Indicator Parts List'!$D$2="CDN$",_xlfn.XLOOKUP(A1512,Prices!A:A,Prices!D:D),IF('Flow Indicator Parts List'!$D$2="US$",_xlfn.XLOOKUP(CurrencyModifier!A1512,Prices!A:A,Prices!E:E,"MISSING")))</f>
        <v>14.391</v>
      </c>
    </row>
    <row r="1513" spans="1:2">
      <c r="A1513" t="str">
        <f>Prices!A1519</f>
        <v>41262-02</v>
      </c>
      <c r="B1513" s="470">
        <f>IF('Flow Indicator Parts List'!$D$2="CDN$",_xlfn.XLOOKUP(A1513,Prices!A:A,Prices!D:D),IF('Flow Indicator Parts List'!$D$2="US$",_xlfn.XLOOKUP(CurrencyModifier!A1513,Prices!A:A,Prices!E:E,"MISSING")))</f>
        <v>2.9780000000000002</v>
      </c>
    </row>
    <row r="1514" spans="1:2">
      <c r="A1514" t="str">
        <f>Prices!A1520</f>
        <v>41262-02S</v>
      </c>
      <c r="B1514" s="470">
        <f>IF('Flow Indicator Parts List'!$D$2="CDN$",_xlfn.XLOOKUP(A1514,Prices!A:A,Prices!D:D),IF('Flow Indicator Parts List'!$D$2="US$",_xlfn.XLOOKUP(CurrencyModifier!A1514,Prices!A:A,Prices!E:E,"MISSING")))</f>
        <v>12.435</v>
      </c>
    </row>
    <row r="1515" spans="1:2">
      <c r="A1515" t="str">
        <f>Prices!A1521</f>
        <v>41262-SS</v>
      </c>
      <c r="B1515" s="470">
        <f>IF('Flow Indicator Parts List'!$D$2="CDN$",_xlfn.XLOOKUP(A1515,Prices!A:A,Prices!D:D),IF('Flow Indicator Parts List'!$D$2="US$",_xlfn.XLOOKUP(CurrencyModifier!A1515,Prices!A:A,Prices!E:E,"MISSING")))</f>
        <v>22.734999999999999</v>
      </c>
    </row>
    <row r="1516" spans="1:2">
      <c r="A1516" t="str">
        <f>Prices!A1522</f>
        <v>41263-00</v>
      </c>
      <c r="B1516" s="470">
        <f>IF('Flow Indicator Parts List'!$D$2="CDN$",_xlfn.XLOOKUP(A1516,Prices!A:A,Prices!D:D),IF('Flow Indicator Parts List'!$D$2="US$",_xlfn.XLOOKUP(CurrencyModifier!A1516,Prices!A:A,Prices!E:E,"MISSING")))</f>
        <v>7.4480000000000004</v>
      </c>
    </row>
    <row r="1517" spans="1:2">
      <c r="A1517" t="str">
        <f>Prices!A1523</f>
        <v>41263-01</v>
      </c>
      <c r="B1517" s="470">
        <f>IF('Flow Indicator Parts List'!$D$2="CDN$",_xlfn.XLOOKUP(A1517,Prices!A:A,Prices!D:D),IF('Flow Indicator Parts List'!$D$2="US$",_xlfn.XLOOKUP(CurrencyModifier!A1517,Prices!A:A,Prices!E:E,"MISSING")))</f>
        <v>3.7240000000000002</v>
      </c>
    </row>
    <row r="1518" spans="1:2">
      <c r="A1518" t="str">
        <f>Prices!A1524</f>
        <v>41263-01S</v>
      </c>
      <c r="B1518" s="470">
        <f>IF('Flow Indicator Parts List'!$D$2="CDN$",_xlfn.XLOOKUP(A1518,Prices!A:A,Prices!D:D),IF('Flow Indicator Parts List'!$D$2="US$",_xlfn.XLOOKUP(CurrencyModifier!A1518,Prices!A:A,Prices!E:E,"MISSING")))</f>
        <v>14.391</v>
      </c>
    </row>
    <row r="1519" spans="1:2">
      <c r="A1519" t="str">
        <f>Prices!A1525</f>
        <v>41263-02</v>
      </c>
      <c r="B1519" s="470">
        <f>IF('Flow Indicator Parts List'!$D$2="CDN$",_xlfn.XLOOKUP(A1519,Prices!A:A,Prices!D:D),IF('Flow Indicator Parts List'!$D$2="US$",_xlfn.XLOOKUP(CurrencyModifier!A1519,Prices!A:A,Prices!E:E,"MISSING")))</f>
        <v>2.9780000000000002</v>
      </c>
    </row>
    <row r="1520" spans="1:2">
      <c r="A1520" t="str">
        <f>Prices!A1526</f>
        <v>41263-02S</v>
      </c>
      <c r="B1520" s="470">
        <f>IF('Flow Indicator Parts List'!$D$2="CDN$",_xlfn.XLOOKUP(A1520,Prices!A:A,Prices!D:D),IF('Flow Indicator Parts List'!$D$2="US$",_xlfn.XLOOKUP(CurrencyModifier!A1520,Prices!A:A,Prices!E:E,"MISSING")))</f>
        <v>12.435</v>
      </c>
    </row>
    <row r="1521" spans="1:2">
      <c r="A1521" t="str">
        <f>Prices!A1527</f>
        <v>41263-SS</v>
      </c>
      <c r="B1521" s="470">
        <f>IF('Flow Indicator Parts List'!$D$2="CDN$",_xlfn.XLOOKUP(A1521,Prices!A:A,Prices!D:D),IF('Flow Indicator Parts List'!$D$2="US$",_xlfn.XLOOKUP(CurrencyModifier!A1521,Prices!A:A,Prices!E:E,"MISSING")))</f>
        <v>22.734999999999999</v>
      </c>
    </row>
    <row r="1522" spans="1:2">
      <c r="A1522" t="str">
        <f>Prices!A1528</f>
        <v>41264-00</v>
      </c>
      <c r="B1522" s="470">
        <f>IF('Flow Indicator Parts List'!$D$2="CDN$",_xlfn.XLOOKUP(A1522,Prices!A:A,Prices!D:D),IF('Flow Indicator Parts List'!$D$2="US$",_xlfn.XLOOKUP(CurrencyModifier!A1522,Prices!A:A,Prices!E:E,"MISSING")))</f>
        <v>7.4480000000000004</v>
      </c>
    </row>
    <row r="1523" spans="1:2">
      <c r="A1523" t="str">
        <f>Prices!A1529</f>
        <v>41264-01</v>
      </c>
      <c r="B1523" s="470">
        <f>IF('Flow Indicator Parts List'!$D$2="CDN$",_xlfn.XLOOKUP(A1523,Prices!A:A,Prices!D:D),IF('Flow Indicator Parts List'!$D$2="US$",_xlfn.XLOOKUP(CurrencyModifier!A1523,Prices!A:A,Prices!E:E,"MISSING")))</f>
        <v>3.7240000000000002</v>
      </c>
    </row>
    <row r="1524" spans="1:2">
      <c r="A1524" t="str">
        <f>Prices!A1530</f>
        <v>41264-01S</v>
      </c>
      <c r="B1524" s="470">
        <f>IF('Flow Indicator Parts List'!$D$2="CDN$",_xlfn.XLOOKUP(A1524,Prices!A:A,Prices!D:D),IF('Flow Indicator Parts List'!$D$2="US$",_xlfn.XLOOKUP(CurrencyModifier!A1524,Prices!A:A,Prices!E:E,"MISSING")))</f>
        <v>14.391</v>
      </c>
    </row>
    <row r="1525" spans="1:2">
      <c r="A1525" t="str">
        <f>Prices!A1531</f>
        <v>41264-02</v>
      </c>
      <c r="B1525" s="470">
        <f>IF('Flow Indicator Parts List'!$D$2="CDN$",_xlfn.XLOOKUP(A1525,Prices!A:A,Prices!D:D),IF('Flow Indicator Parts List'!$D$2="US$",_xlfn.XLOOKUP(CurrencyModifier!A1525,Prices!A:A,Prices!E:E,"MISSING")))</f>
        <v>2.9780000000000002</v>
      </c>
    </row>
    <row r="1526" spans="1:2">
      <c r="A1526" t="str">
        <f>Prices!A1532</f>
        <v>41264-02S</v>
      </c>
      <c r="B1526" s="470">
        <f>IF('Flow Indicator Parts List'!$D$2="CDN$",_xlfn.XLOOKUP(A1526,Prices!A:A,Prices!D:D),IF('Flow Indicator Parts List'!$D$2="US$",_xlfn.XLOOKUP(CurrencyModifier!A1526,Prices!A:A,Prices!E:E,"MISSING")))</f>
        <v>12.435</v>
      </c>
    </row>
    <row r="1527" spans="1:2">
      <c r="A1527" t="str">
        <f>Prices!A1533</f>
        <v>41264-SS</v>
      </c>
      <c r="B1527" s="470">
        <f>IF('Flow Indicator Parts List'!$D$2="CDN$",_xlfn.XLOOKUP(A1527,Prices!A:A,Prices!D:D),IF('Flow Indicator Parts List'!$D$2="US$",_xlfn.XLOOKUP(CurrencyModifier!A1527,Prices!A:A,Prices!E:E,"MISSING")))</f>
        <v>22.734999999999999</v>
      </c>
    </row>
    <row r="1528" spans="1:2">
      <c r="A1528" t="str">
        <f>Prices!A1534</f>
        <v>41275-00</v>
      </c>
      <c r="B1528" s="470">
        <f>IF('Flow Indicator Parts List'!$D$2="CDN$",_xlfn.XLOOKUP(A1528,Prices!A:A,Prices!D:D),IF('Flow Indicator Parts List'!$D$2="US$",_xlfn.XLOOKUP(CurrencyModifier!A1528,Prices!A:A,Prices!E:E,"MISSING")))</f>
        <v>2.6739999999999999</v>
      </c>
    </row>
    <row r="1529" spans="1:2">
      <c r="A1529" t="str">
        <f>Prices!A1535</f>
        <v>41276-00</v>
      </c>
      <c r="B1529" s="470">
        <f>IF('Flow Indicator Parts List'!$D$2="CDN$",_xlfn.XLOOKUP(A1529,Prices!A:A,Prices!D:D),IF('Flow Indicator Parts List'!$D$2="US$",_xlfn.XLOOKUP(CurrencyModifier!A1529,Prices!A:A,Prices!E:E,"MISSING")))</f>
        <v>2.6739999999999999</v>
      </c>
    </row>
    <row r="1530" spans="1:2">
      <c r="A1530" t="str">
        <f>Prices!A1536</f>
        <v>41285-00</v>
      </c>
      <c r="B1530" s="470">
        <f>IF('Flow Indicator Parts List'!$D$2="CDN$",_xlfn.XLOOKUP(A1530,Prices!A:A,Prices!D:D),IF('Flow Indicator Parts List'!$D$2="US$",_xlfn.XLOOKUP(CurrencyModifier!A1530,Prices!A:A,Prices!E:E,"MISSING")))</f>
        <v>2.101</v>
      </c>
    </row>
    <row r="1531" spans="1:2">
      <c r="A1531" t="str">
        <f>Prices!A1537</f>
        <v>41286-00</v>
      </c>
      <c r="B1531" s="470">
        <f>IF('Flow Indicator Parts List'!$D$2="CDN$",_xlfn.XLOOKUP(A1531,Prices!A:A,Prices!D:D),IF('Flow Indicator Parts List'!$D$2="US$",_xlfn.XLOOKUP(CurrencyModifier!A1531,Prices!A:A,Prices!E:E,"MISSING")))</f>
        <v>0</v>
      </c>
    </row>
    <row r="1532" spans="1:2">
      <c r="A1532" t="str">
        <f>Prices!A1538</f>
        <v>41286-01</v>
      </c>
      <c r="B1532" s="470">
        <f>IF('Flow Indicator Parts List'!$D$2="CDN$",_xlfn.XLOOKUP(A1532,Prices!A:A,Prices!D:D),IF('Flow Indicator Parts List'!$D$2="US$",_xlfn.XLOOKUP(CurrencyModifier!A1532,Prices!A:A,Prices!E:E,"MISSING")))</f>
        <v>0</v>
      </c>
    </row>
    <row r="1533" spans="1:2">
      <c r="A1533" t="str">
        <f>Prices!A1539</f>
        <v>41300-00</v>
      </c>
      <c r="B1533" s="470">
        <f>IF('Flow Indicator Parts List'!$D$2="CDN$",_xlfn.XLOOKUP(A1533,Prices!A:A,Prices!D:D),IF('Flow Indicator Parts List'!$D$2="US$",_xlfn.XLOOKUP(CurrencyModifier!A1533,Prices!A:A,Prices!E:E,"MISSING")))</f>
        <v>587.26900000000001</v>
      </c>
    </row>
    <row r="1534" spans="1:2">
      <c r="A1534" t="str">
        <f>Prices!A1540</f>
        <v>41301-00</v>
      </c>
      <c r="B1534" s="470">
        <f>IF('Flow Indicator Parts List'!$D$2="CDN$",_xlfn.XLOOKUP(A1534,Prices!A:A,Prices!D:D),IF('Flow Indicator Parts List'!$D$2="US$",_xlfn.XLOOKUP(CurrencyModifier!A1534,Prices!A:A,Prices!E:E,"MISSING")))</f>
        <v>171.31700000000001</v>
      </c>
    </row>
    <row r="1535" spans="1:2">
      <c r="A1535" t="str">
        <f>Prices!A1541</f>
        <v>41302-00</v>
      </c>
      <c r="B1535" s="470">
        <f>IF('Flow Indicator Parts List'!$D$2="CDN$",_xlfn.XLOOKUP(A1535,Prices!A:A,Prices!D:D),IF('Flow Indicator Parts List'!$D$2="US$",_xlfn.XLOOKUP(CurrencyModifier!A1535,Prices!A:A,Prices!E:E,"MISSING")))</f>
        <v>249.113</v>
      </c>
    </row>
    <row r="1536" spans="1:2">
      <c r="A1536" t="str">
        <f>Prices!A1542</f>
        <v>41311-00</v>
      </c>
      <c r="B1536" s="470">
        <f>IF('Flow Indicator Parts List'!$D$2="CDN$",_xlfn.XLOOKUP(A1536,Prices!A:A,Prices!D:D),IF('Flow Indicator Parts List'!$D$2="US$",_xlfn.XLOOKUP(CurrencyModifier!A1536,Prices!A:A,Prices!E:E,"MISSING")))</f>
        <v>18.13</v>
      </c>
    </row>
    <row r="1537" spans="1:2">
      <c r="A1537" t="str">
        <f>Prices!A1543</f>
        <v>41311-01</v>
      </c>
      <c r="B1537" s="470">
        <f>IF('Flow Indicator Parts List'!$D$2="CDN$",_xlfn.XLOOKUP(A1537,Prices!A:A,Prices!D:D),IF('Flow Indicator Parts List'!$D$2="US$",_xlfn.XLOOKUP(CurrencyModifier!A1537,Prices!A:A,Prices!E:E,"MISSING")))</f>
        <v>3.105</v>
      </c>
    </row>
    <row r="1538" spans="1:2">
      <c r="A1538" t="str">
        <f>Prices!A1544</f>
        <v>41311-02</v>
      </c>
      <c r="B1538" s="470">
        <f>IF('Flow Indicator Parts List'!$D$2="CDN$",_xlfn.XLOOKUP(A1538,Prices!A:A,Prices!D:D),IF('Flow Indicator Parts List'!$D$2="US$",_xlfn.XLOOKUP(CurrencyModifier!A1538,Prices!A:A,Prices!E:E,"MISSING")))</f>
        <v>0.71399999999999997</v>
      </c>
    </row>
    <row r="1539" spans="1:2">
      <c r="A1539" t="str">
        <f>Prices!A1545</f>
        <v>41311-03</v>
      </c>
      <c r="B1539" s="470">
        <f>IF('Flow Indicator Parts List'!$D$2="CDN$",_xlfn.XLOOKUP(A1539,Prices!A:A,Prices!D:D),IF('Flow Indicator Parts List'!$D$2="US$",_xlfn.XLOOKUP(CurrencyModifier!A1539,Prices!A:A,Prices!E:E,"MISSING")))</f>
        <v>9.0999999999999998E-2</v>
      </c>
    </row>
    <row r="1540" spans="1:2">
      <c r="A1540" t="str">
        <f>Prices!A1546</f>
        <v>41311-04</v>
      </c>
      <c r="B1540" s="470">
        <f>IF('Flow Indicator Parts List'!$D$2="CDN$",_xlfn.XLOOKUP(A1540,Prices!A:A,Prices!D:D),IF('Flow Indicator Parts List'!$D$2="US$",_xlfn.XLOOKUP(CurrencyModifier!A1540,Prices!A:A,Prices!E:E,"MISSING")))</f>
        <v>0.219</v>
      </c>
    </row>
    <row r="1541" spans="1:2">
      <c r="A1541" t="str">
        <f>Prices!A1547</f>
        <v>41311-05</v>
      </c>
      <c r="B1541" s="470">
        <f>IF('Flow Indicator Parts List'!$D$2="CDN$",_xlfn.XLOOKUP(A1541,Prices!A:A,Prices!D:D),IF('Flow Indicator Parts List'!$D$2="US$",_xlfn.XLOOKUP(CurrencyModifier!A1541,Prices!A:A,Prices!E:E,"MISSING")))</f>
        <v>0.35</v>
      </c>
    </row>
    <row r="1542" spans="1:2">
      <c r="A1542" t="str">
        <f>Prices!A1548</f>
        <v>41312-00</v>
      </c>
      <c r="B1542" s="470">
        <f>IF('Flow Indicator Parts List'!$D$2="CDN$",_xlfn.XLOOKUP(A1542,Prices!A:A,Prices!D:D),IF('Flow Indicator Parts List'!$D$2="US$",_xlfn.XLOOKUP(CurrencyModifier!A1542,Prices!A:A,Prices!E:E,"MISSING")))</f>
        <v>20.13</v>
      </c>
    </row>
    <row r="1543" spans="1:2">
      <c r="A1543" t="str">
        <f>Prices!A1549</f>
        <v>41312-01</v>
      </c>
      <c r="B1543" s="470">
        <f>IF('Flow Indicator Parts List'!$D$2="CDN$",_xlfn.XLOOKUP(A1543,Prices!A:A,Prices!D:D),IF('Flow Indicator Parts List'!$D$2="US$",_xlfn.XLOOKUP(CurrencyModifier!A1543,Prices!A:A,Prices!E:E,"MISSING")))</f>
        <v>3.2570000000000001</v>
      </c>
    </row>
    <row r="1544" spans="1:2">
      <c r="A1544" t="str">
        <f>Prices!A1550</f>
        <v>41313-00</v>
      </c>
      <c r="B1544" s="470">
        <f>IF('Flow Indicator Parts List'!$D$2="CDN$",_xlfn.XLOOKUP(A1544,Prices!A:A,Prices!D:D),IF('Flow Indicator Parts List'!$D$2="US$",_xlfn.XLOOKUP(CurrencyModifier!A1544,Prices!A:A,Prices!E:E,"MISSING")))</f>
        <v>20.077999999999999</v>
      </c>
    </row>
    <row r="1545" spans="1:2">
      <c r="A1545" t="str">
        <f>Prices!A1551</f>
        <v>41314-00</v>
      </c>
      <c r="B1545" s="470">
        <f>IF('Flow Indicator Parts List'!$D$2="CDN$",_xlfn.XLOOKUP(A1545,Prices!A:A,Prices!D:D),IF('Flow Indicator Parts List'!$D$2="US$",_xlfn.XLOOKUP(CurrencyModifier!A1545,Prices!A:A,Prices!E:E,"MISSING")))</f>
        <v>22.077999999999999</v>
      </c>
    </row>
    <row r="1546" spans="1:2">
      <c r="A1546" t="str">
        <f>Prices!A1552</f>
        <v>41315-00</v>
      </c>
      <c r="B1546" s="470">
        <f>IF('Flow Indicator Parts List'!$D$2="CDN$",_xlfn.XLOOKUP(A1546,Prices!A:A,Prices!D:D),IF('Flow Indicator Parts List'!$D$2="US$",_xlfn.XLOOKUP(CurrencyModifier!A1546,Prices!A:A,Prices!E:E,"MISSING")))</f>
        <v>23.753</v>
      </c>
    </row>
    <row r="1547" spans="1:2">
      <c r="A1547" t="str">
        <f>Prices!A1553</f>
        <v>41316-00</v>
      </c>
      <c r="B1547" s="470">
        <f>IF('Flow Indicator Parts List'!$D$2="CDN$",_xlfn.XLOOKUP(A1547,Prices!A:A,Prices!D:D),IF('Flow Indicator Parts List'!$D$2="US$",_xlfn.XLOOKUP(CurrencyModifier!A1547,Prices!A:A,Prices!E:E,"MISSING")))</f>
        <v>25.753</v>
      </c>
    </row>
    <row r="1548" spans="1:2">
      <c r="A1548" t="str">
        <f>Prices!A1554</f>
        <v>41317-00</v>
      </c>
      <c r="B1548" s="470">
        <f>IF('Flow Indicator Parts List'!$D$2="CDN$",_xlfn.XLOOKUP(A1548,Prices!A:A,Prices!D:D),IF('Flow Indicator Parts List'!$D$2="US$",_xlfn.XLOOKUP(CurrencyModifier!A1548,Prices!A:A,Prices!E:E,"MISSING")))</f>
        <v>12.129</v>
      </c>
    </row>
    <row r="1549" spans="1:2">
      <c r="A1549" t="str">
        <f>Prices!A1555</f>
        <v>41318-00</v>
      </c>
      <c r="B1549" s="470">
        <f>IF('Flow Indicator Parts List'!$D$2="CDN$",_xlfn.XLOOKUP(A1549,Prices!A:A,Prices!D:D),IF('Flow Indicator Parts List'!$D$2="US$",_xlfn.XLOOKUP(CurrencyModifier!A1549,Prices!A:A,Prices!E:E,"MISSING")))</f>
        <v>14.129</v>
      </c>
    </row>
    <row r="1550" spans="1:2">
      <c r="A1550" t="str">
        <f>Prices!A1556</f>
        <v>41321-00</v>
      </c>
      <c r="B1550" s="470">
        <f>IF('Flow Indicator Parts List'!$D$2="CDN$",_xlfn.XLOOKUP(A1550,Prices!A:A,Prices!D:D),IF('Flow Indicator Parts List'!$D$2="US$",_xlfn.XLOOKUP(CurrencyModifier!A1550,Prices!A:A,Prices!E:E,"MISSING")))</f>
        <v>18.13</v>
      </c>
    </row>
    <row r="1551" spans="1:2">
      <c r="A1551" t="str">
        <f>Prices!A1557</f>
        <v>41321-01</v>
      </c>
      <c r="B1551" s="470">
        <f>IF('Flow Indicator Parts List'!$D$2="CDN$",_xlfn.XLOOKUP(A1551,Prices!A:A,Prices!D:D),IF('Flow Indicator Parts List'!$D$2="US$",_xlfn.XLOOKUP(CurrencyModifier!A1551,Prices!A:A,Prices!E:E,"MISSING")))</f>
        <v>3.0979999999999999</v>
      </c>
    </row>
    <row r="1552" spans="1:2">
      <c r="A1552" t="str">
        <f>Prices!A1558</f>
        <v>41321-02</v>
      </c>
      <c r="B1552" s="470">
        <f>IF('Flow Indicator Parts List'!$D$2="CDN$",_xlfn.XLOOKUP(A1552,Prices!A:A,Prices!D:D),IF('Flow Indicator Parts List'!$D$2="US$",_xlfn.XLOOKUP(CurrencyModifier!A1552,Prices!A:A,Prices!E:E,"MISSING")))</f>
        <v>0.71</v>
      </c>
    </row>
    <row r="1553" spans="1:2">
      <c r="A1553" t="str">
        <f>Prices!A1559</f>
        <v>41322-00</v>
      </c>
      <c r="B1553" s="470">
        <f>IF('Flow Indicator Parts List'!$D$2="CDN$",_xlfn.XLOOKUP(A1553,Prices!A:A,Prices!D:D),IF('Flow Indicator Parts List'!$D$2="US$",_xlfn.XLOOKUP(CurrencyModifier!A1553,Prices!A:A,Prices!E:E,"MISSING")))</f>
        <v>20.13</v>
      </c>
    </row>
    <row r="1554" spans="1:2">
      <c r="A1554" t="str">
        <f>Prices!A1560</f>
        <v>41322-01</v>
      </c>
      <c r="B1554" s="470">
        <f>IF('Flow Indicator Parts List'!$D$2="CDN$",_xlfn.XLOOKUP(A1554,Prices!A:A,Prices!D:D),IF('Flow Indicator Parts List'!$D$2="US$",_xlfn.XLOOKUP(CurrencyModifier!A1554,Prices!A:A,Prices!E:E,"MISSING")))</f>
        <v>3.2970000000000002</v>
      </c>
    </row>
    <row r="1555" spans="1:2">
      <c r="A1555" t="str">
        <f>Prices!A1561</f>
        <v>41323-00</v>
      </c>
      <c r="B1555" s="470">
        <f>IF('Flow Indicator Parts List'!$D$2="CDN$",_xlfn.XLOOKUP(A1555,Prices!A:A,Prices!D:D),IF('Flow Indicator Parts List'!$D$2="US$",_xlfn.XLOOKUP(CurrencyModifier!A1555,Prices!A:A,Prices!E:E,"MISSING")))</f>
        <v>20.077999999999999</v>
      </c>
    </row>
    <row r="1556" spans="1:2">
      <c r="A1556" t="str">
        <f>Prices!A1562</f>
        <v>41324-00</v>
      </c>
      <c r="B1556" s="470">
        <f>IF('Flow Indicator Parts List'!$D$2="CDN$",_xlfn.XLOOKUP(A1556,Prices!A:A,Prices!D:D),IF('Flow Indicator Parts List'!$D$2="US$",_xlfn.XLOOKUP(CurrencyModifier!A1556,Prices!A:A,Prices!E:E,"MISSING")))</f>
        <v>22.077999999999999</v>
      </c>
    </row>
    <row r="1557" spans="1:2">
      <c r="A1557" t="str">
        <f>Prices!A1563</f>
        <v>41325-00</v>
      </c>
      <c r="B1557" s="470">
        <f>IF('Flow Indicator Parts List'!$D$2="CDN$",_xlfn.XLOOKUP(A1557,Prices!A:A,Prices!D:D),IF('Flow Indicator Parts List'!$D$2="US$",_xlfn.XLOOKUP(CurrencyModifier!A1557,Prices!A:A,Prices!E:E,"MISSING")))</f>
        <v>23.753</v>
      </c>
    </row>
    <row r="1558" spans="1:2">
      <c r="A1558" t="str">
        <f>Prices!A1564</f>
        <v>41326-00</v>
      </c>
      <c r="B1558" s="470">
        <f>IF('Flow Indicator Parts List'!$D$2="CDN$",_xlfn.XLOOKUP(A1558,Prices!A:A,Prices!D:D),IF('Flow Indicator Parts List'!$D$2="US$",_xlfn.XLOOKUP(CurrencyModifier!A1558,Prices!A:A,Prices!E:E,"MISSING")))</f>
        <v>25.753</v>
      </c>
    </row>
    <row r="1559" spans="1:2">
      <c r="A1559" t="str">
        <f>Prices!A1565</f>
        <v>41327-00</v>
      </c>
      <c r="B1559" s="470">
        <f>IF('Flow Indicator Parts List'!$D$2="CDN$",_xlfn.XLOOKUP(A1559,Prices!A:A,Prices!D:D),IF('Flow Indicator Parts List'!$D$2="US$",_xlfn.XLOOKUP(CurrencyModifier!A1559,Prices!A:A,Prices!E:E,"MISSING")))</f>
        <v>12.129</v>
      </c>
    </row>
    <row r="1560" spans="1:2">
      <c r="A1560" t="str">
        <f>Prices!A1566</f>
        <v>41328-00</v>
      </c>
      <c r="B1560" s="470">
        <f>IF('Flow Indicator Parts List'!$D$2="CDN$",_xlfn.XLOOKUP(A1560,Prices!A:A,Prices!D:D),IF('Flow Indicator Parts List'!$D$2="US$",_xlfn.XLOOKUP(CurrencyModifier!A1560,Prices!A:A,Prices!E:E,"MISSING")))</f>
        <v>14.129</v>
      </c>
    </row>
    <row r="1561" spans="1:2">
      <c r="A1561" t="str">
        <f>Prices!A1567</f>
        <v>41331-00</v>
      </c>
      <c r="B1561" s="470">
        <f>IF('Flow Indicator Parts List'!$D$2="CDN$",_xlfn.XLOOKUP(A1561,Prices!A:A,Prices!D:D),IF('Flow Indicator Parts List'!$D$2="US$",_xlfn.XLOOKUP(CurrencyModifier!A1561,Prices!A:A,Prices!E:E,"MISSING")))</f>
        <v>18.13</v>
      </c>
    </row>
    <row r="1562" spans="1:2">
      <c r="A1562" t="str">
        <f>Prices!A1568</f>
        <v>41331-01</v>
      </c>
      <c r="B1562" s="470">
        <f>IF('Flow Indicator Parts List'!$D$2="CDN$",_xlfn.XLOOKUP(A1562,Prices!A:A,Prices!D:D),IF('Flow Indicator Parts List'!$D$2="US$",_xlfn.XLOOKUP(CurrencyModifier!A1562,Prices!A:A,Prices!E:E,"MISSING")))</f>
        <v>3.0979999999999999</v>
      </c>
    </row>
    <row r="1563" spans="1:2">
      <c r="A1563" t="str">
        <f>Prices!A1569</f>
        <v>41331-02</v>
      </c>
      <c r="B1563" s="470">
        <f>IF('Flow Indicator Parts List'!$D$2="CDN$",_xlfn.XLOOKUP(A1563,Prices!A:A,Prices!D:D),IF('Flow Indicator Parts List'!$D$2="US$",_xlfn.XLOOKUP(CurrencyModifier!A1563,Prices!A:A,Prices!E:E,"MISSING")))</f>
        <v>0.71</v>
      </c>
    </row>
    <row r="1564" spans="1:2">
      <c r="A1564" t="str">
        <f>Prices!A1570</f>
        <v>41331-03</v>
      </c>
      <c r="B1564" s="470">
        <f>IF('Flow Indicator Parts List'!$D$2="CDN$",_xlfn.XLOOKUP(A1564,Prices!A:A,Prices!D:D),IF('Flow Indicator Parts List'!$D$2="US$",_xlfn.XLOOKUP(CurrencyModifier!A1564,Prices!A:A,Prices!E:E,"MISSING")))</f>
        <v>0.436</v>
      </c>
    </row>
    <row r="1565" spans="1:2">
      <c r="A1565" t="str">
        <f>Prices!A1571</f>
        <v>41332-00</v>
      </c>
      <c r="B1565" s="470">
        <f>IF('Flow Indicator Parts List'!$D$2="CDN$",_xlfn.XLOOKUP(A1565,Prices!A:A,Prices!D:D),IF('Flow Indicator Parts List'!$D$2="US$",_xlfn.XLOOKUP(CurrencyModifier!A1565,Prices!A:A,Prices!E:E,"MISSING")))</f>
        <v>20.13</v>
      </c>
    </row>
    <row r="1566" spans="1:2">
      <c r="A1566" t="str">
        <f>Prices!A1572</f>
        <v>41332-01</v>
      </c>
      <c r="B1566" s="470">
        <f>IF('Flow Indicator Parts List'!$D$2="CDN$",_xlfn.XLOOKUP(A1566,Prices!A:A,Prices!D:D),IF('Flow Indicator Parts List'!$D$2="US$",_xlfn.XLOOKUP(CurrencyModifier!A1566,Prices!A:A,Prices!E:E,"MISSING")))</f>
        <v>3.2970000000000002</v>
      </c>
    </row>
    <row r="1567" spans="1:2">
      <c r="A1567" t="str">
        <f>Prices!A1573</f>
        <v>41333-00</v>
      </c>
      <c r="B1567" s="470">
        <f>IF('Flow Indicator Parts List'!$D$2="CDN$",_xlfn.XLOOKUP(A1567,Prices!A:A,Prices!D:D),IF('Flow Indicator Parts List'!$D$2="US$",_xlfn.XLOOKUP(CurrencyModifier!A1567,Prices!A:A,Prices!E:E,"MISSING")))</f>
        <v>20.077999999999999</v>
      </c>
    </row>
    <row r="1568" spans="1:2">
      <c r="A1568" t="str">
        <f>Prices!A1574</f>
        <v>41334-00</v>
      </c>
      <c r="B1568" s="470">
        <f>IF('Flow Indicator Parts List'!$D$2="CDN$",_xlfn.XLOOKUP(A1568,Prices!A:A,Prices!D:D),IF('Flow Indicator Parts List'!$D$2="US$",_xlfn.XLOOKUP(CurrencyModifier!A1568,Prices!A:A,Prices!E:E,"MISSING")))</f>
        <v>22.077999999999999</v>
      </c>
    </row>
    <row r="1569" spans="1:2">
      <c r="A1569" t="str">
        <f>Prices!A1575</f>
        <v>41335-00</v>
      </c>
      <c r="B1569" s="470">
        <f>IF('Flow Indicator Parts List'!$D$2="CDN$",_xlfn.XLOOKUP(A1569,Prices!A:A,Prices!D:D),IF('Flow Indicator Parts List'!$D$2="US$",_xlfn.XLOOKUP(CurrencyModifier!A1569,Prices!A:A,Prices!E:E,"MISSING")))</f>
        <v>23.753</v>
      </c>
    </row>
    <row r="1570" spans="1:2">
      <c r="A1570" t="str">
        <f>Prices!A1576</f>
        <v>41336-00</v>
      </c>
      <c r="B1570" s="470">
        <f>IF('Flow Indicator Parts List'!$D$2="CDN$",_xlfn.XLOOKUP(A1570,Prices!A:A,Prices!D:D),IF('Flow Indicator Parts List'!$D$2="US$",_xlfn.XLOOKUP(CurrencyModifier!A1570,Prices!A:A,Prices!E:E,"MISSING")))</f>
        <v>25.753</v>
      </c>
    </row>
    <row r="1571" spans="1:2">
      <c r="A1571" t="str">
        <f>Prices!A1577</f>
        <v>41337-00</v>
      </c>
      <c r="B1571" s="470">
        <f>IF('Flow Indicator Parts List'!$D$2="CDN$",_xlfn.XLOOKUP(A1571,Prices!A:A,Prices!D:D),IF('Flow Indicator Parts List'!$D$2="US$",_xlfn.XLOOKUP(CurrencyModifier!A1571,Prices!A:A,Prices!E:E,"MISSING")))</f>
        <v>12.129</v>
      </c>
    </row>
    <row r="1572" spans="1:2">
      <c r="A1572" t="str">
        <f>Prices!A1578</f>
        <v>41338-00</v>
      </c>
      <c r="B1572" s="470">
        <f>IF('Flow Indicator Parts List'!$D$2="CDN$",_xlfn.XLOOKUP(A1572,Prices!A:A,Prices!D:D),IF('Flow Indicator Parts List'!$D$2="US$",_xlfn.XLOOKUP(CurrencyModifier!A1572,Prices!A:A,Prices!E:E,"MISSING")))</f>
        <v>14.129</v>
      </c>
    </row>
    <row r="1573" spans="1:2">
      <c r="A1573" t="str">
        <f>Prices!A1579</f>
        <v>41341-00</v>
      </c>
      <c r="B1573" s="470">
        <f>IF('Flow Indicator Parts List'!$D$2="CDN$",_xlfn.XLOOKUP(A1573,Prices!A:A,Prices!D:D),IF('Flow Indicator Parts List'!$D$2="US$",_xlfn.XLOOKUP(CurrencyModifier!A1573,Prices!A:A,Prices!E:E,"MISSING")))</f>
        <v>18.13</v>
      </c>
    </row>
    <row r="1574" spans="1:2">
      <c r="A1574" t="str">
        <f>Prices!A1580</f>
        <v>41341-01</v>
      </c>
      <c r="B1574" s="470">
        <f>IF('Flow Indicator Parts List'!$D$2="CDN$",_xlfn.XLOOKUP(A1574,Prices!A:A,Prices!D:D),IF('Flow Indicator Parts List'!$D$2="US$",_xlfn.XLOOKUP(CurrencyModifier!A1574,Prices!A:A,Prices!E:E,"MISSING")))</f>
        <v>3.0979999999999999</v>
      </c>
    </row>
    <row r="1575" spans="1:2">
      <c r="A1575" t="str">
        <f>Prices!A1581</f>
        <v>41342-00</v>
      </c>
      <c r="B1575" s="470">
        <f>IF('Flow Indicator Parts List'!$D$2="CDN$",_xlfn.XLOOKUP(A1575,Prices!A:A,Prices!D:D),IF('Flow Indicator Parts List'!$D$2="US$",_xlfn.XLOOKUP(CurrencyModifier!A1575,Prices!A:A,Prices!E:E,"MISSING")))</f>
        <v>20.13</v>
      </c>
    </row>
    <row r="1576" spans="1:2">
      <c r="A1576" t="str">
        <f>Prices!A1582</f>
        <v>41342-01</v>
      </c>
      <c r="B1576" s="470">
        <f>IF('Flow Indicator Parts List'!$D$2="CDN$",_xlfn.XLOOKUP(A1576,Prices!A:A,Prices!D:D),IF('Flow Indicator Parts List'!$D$2="US$",_xlfn.XLOOKUP(CurrencyModifier!A1576,Prices!A:A,Prices!E:E,"MISSING")))</f>
        <v>3.2959999999999998</v>
      </c>
    </row>
    <row r="1577" spans="1:2">
      <c r="A1577" t="str">
        <f>Prices!A1583</f>
        <v>41343-00</v>
      </c>
      <c r="B1577" s="470">
        <f>IF('Flow Indicator Parts List'!$D$2="CDN$",_xlfn.XLOOKUP(A1577,Prices!A:A,Prices!D:D),IF('Flow Indicator Parts List'!$D$2="US$",_xlfn.XLOOKUP(CurrencyModifier!A1577,Prices!A:A,Prices!E:E,"MISSING")))</f>
        <v>20.077999999999999</v>
      </c>
    </row>
    <row r="1578" spans="1:2">
      <c r="A1578" t="str">
        <f>Prices!A1584</f>
        <v>41344-00</v>
      </c>
      <c r="B1578" s="470">
        <f>IF('Flow Indicator Parts List'!$D$2="CDN$",_xlfn.XLOOKUP(A1578,Prices!A:A,Prices!D:D),IF('Flow Indicator Parts List'!$D$2="US$",_xlfn.XLOOKUP(CurrencyModifier!A1578,Prices!A:A,Prices!E:E,"MISSING")))</f>
        <v>22.077999999999999</v>
      </c>
    </row>
    <row r="1579" spans="1:2">
      <c r="A1579" t="str">
        <f>Prices!A1585</f>
        <v>41345-00</v>
      </c>
      <c r="B1579" s="470">
        <f>IF('Flow Indicator Parts List'!$D$2="CDN$",_xlfn.XLOOKUP(A1579,Prices!A:A,Prices!D:D),IF('Flow Indicator Parts List'!$D$2="US$",_xlfn.XLOOKUP(CurrencyModifier!A1579,Prices!A:A,Prices!E:E,"MISSING")))</f>
        <v>23.753</v>
      </c>
    </row>
    <row r="1580" spans="1:2">
      <c r="A1580" t="str">
        <f>Prices!A1586</f>
        <v>41346-00</v>
      </c>
      <c r="B1580" s="470">
        <f>IF('Flow Indicator Parts List'!$D$2="CDN$",_xlfn.XLOOKUP(A1580,Prices!A:A,Prices!D:D),IF('Flow Indicator Parts List'!$D$2="US$",_xlfn.XLOOKUP(CurrencyModifier!A1580,Prices!A:A,Prices!E:E,"MISSING")))</f>
        <v>25.753</v>
      </c>
    </row>
    <row r="1581" spans="1:2">
      <c r="A1581" t="str">
        <f>Prices!A1587</f>
        <v>41347-00</v>
      </c>
      <c r="B1581" s="470">
        <f>IF('Flow Indicator Parts List'!$D$2="CDN$",_xlfn.XLOOKUP(A1581,Prices!A:A,Prices!D:D),IF('Flow Indicator Parts List'!$D$2="US$",_xlfn.XLOOKUP(CurrencyModifier!A1581,Prices!A:A,Prices!E:E,"MISSING")))</f>
        <v>12.129</v>
      </c>
    </row>
    <row r="1582" spans="1:2">
      <c r="A1582" t="str">
        <f>Prices!A1588</f>
        <v>41348-00</v>
      </c>
      <c r="B1582" s="470">
        <f>IF('Flow Indicator Parts List'!$D$2="CDN$",_xlfn.XLOOKUP(A1582,Prices!A:A,Prices!D:D),IF('Flow Indicator Parts List'!$D$2="US$",_xlfn.XLOOKUP(CurrencyModifier!A1582,Prices!A:A,Prices!E:E,"MISSING")))</f>
        <v>14.129</v>
      </c>
    </row>
    <row r="1583" spans="1:2">
      <c r="A1583" t="str">
        <f>Prices!A1589</f>
        <v>41351-00</v>
      </c>
      <c r="B1583" s="470">
        <f>IF('Flow Indicator Parts List'!$D$2="CDN$",_xlfn.XLOOKUP(A1583,Prices!A:A,Prices!D:D),IF('Flow Indicator Parts List'!$D$2="US$",_xlfn.XLOOKUP(CurrencyModifier!A1583,Prices!A:A,Prices!E:E,"MISSING")))</f>
        <v>20.143999999999998</v>
      </c>
    </row>
    <row r="1584" spans="1:2">
      <c r="A1584" t="str">
        <f>Prices!A1590</f>
        <v>41351-01</v>
      </c>
      <c r="B1584" s="470">
        <f>IF('Flow Indicator Parts List'!$D$2="CDN$",_xlfn.XLOOKUP(A1584,Prices!A:A,Prices!D:D),IF('Flow Indicator Parts List'!$D$2="US$",_xlfn.XLOOKUP(CurrencyModifier!A1584,Prices!A:A,Prices!E:E,"MISSING")))</f>
        <v>3.1120000000000001</v>
      </c>
    </row>
    <row r="1585" spans="1:2">
      <c r="A1585" t="str">
        <f>Prices!A1591</f>
        <v>41352-00</v>
      </c>
      <c r="B1585" s="470">
        <f>IF('Flow Indicator Parts List'!$D$2="CDN$",_xlfn.XLOOKUP(A1585,Prices!A:A,Prices!D:D),IF('Flow Indicator Parts List'!$D$2="US$",_xlfn.XLOOKUP(CurrencyModifier!A1585,Prices!A:A,Prices!E:E,"MISSING")))</f>
        <v>22.367000000000001</v>
      </c>
    </row>
    <row r="1586" spans="1:2">
      <c r="A1586" t="str">
        <f>Prices!A1592</f>
        <v>41352-01</v>
      </c>
      <c r="B1586" s="470">
        <f>IF('Flow Indicator Parts List'!$D$2="CDN$",_xlfn.XLOOKUP(A1586,Prices!A:A,Prices!D:D),IF('Flow Indicator Parts List'!$D$2="US$",_xlfn.XLOOKUP(CurrencyModifier!A1586,Prices!A:A,Prices!E:E,"MISSING")))</f>
        <v>3.3109999999999999</v>
      </c>
    </row>
    <row r="1587" spans="1:2">
      <c r="A1587" t="str">
        <f>Prices!A1593</f>
        <v>41353-00</v>
      </c>
      <c r="B1587" s="470">
        <f>IF('Flow Indicator Parts List'!$D$2="CDN$",_xlfn.XLOOKUP(A1587,Prices!A:A,Prices!D:D),IF('Flow Indicator Parts List'!$D$2="US$",_xlfn.XLOOKUP(CurrencyModifier!A1587,Prices!A:A,Prices!E:E,"MISSING")))</f>
        <v>22.309000000000001</v>
      </c>
    </row>
    <row r="1588" spans="1:2">
      <c r="A1588" t="str">
        <f>Prices!A1594</f>
        <v>41354-00</v>
      </c>
      <c r="B1588" s="470">
        <f>IF('Flow Indicator Parts List'!$D$2="CDN$",_xlfn.XLOOKUP(A1588,Prices!A:A,Prices!D:D),IF('Flow Indicator Parts List'!$D$2="US$",_xlfn.XLOOKUP(CurrencyModifier!A1588,Prices!A:A,Prices!E:E,"MISSING")))</f>
        <v>24.530999999999999</v>
      </c>
    </row>
    <row r="1589" spans="1:2">
      <c r="A1589" t="str">
        <f>Prices!A1595</f>
        <v>41355-00</v>
      </c>
      <c r="B1589" s="470">
        <f>IF('Flow Indicator Parts List'!$D$2="CDN$",_xlfn.XLOOKUP(A1589,Prices!A:A,Prices!D:D),IF('Flow Indicator Parts List'!$D$2="US$",_xlfn.XLOOKUP(CurrencyModifier!A1589,Prices!A:A,Prices!E:E,"MISSING")))</f>
        <v>26.294</v>
      </c>
    </row>
    <row r="1590" spans="1:2">
      <c r="A1590" t="str">
        <f>Prices!A1596</f>
        <v>41356-00</v>
      </c>
      <c r="B1590" s="470">
        <f>IF('Flow Indicator Parts List'!$D$2="CDN$",_xlfn.XLOOKUP(A1590,Prices!A:A,Prices!D:D),IF('Flow Indicator Parts List'!$D$2="US$",_xlfn.XLOOKUP(CurrencyModifier!A1590,Prices!A:A,Prices!E:E,"MISSING")))</f>
        <v>28.515999999999998</v>
      </c>
    </row>
    <row r="1591" spans="1:2">
      <c r="A1591" t="str">
        <f>Prices!A1597</f>
        <v>41357-00</v>
      </c>
      <c r="B1591" s="470">
        <f>IF('Flow Indicator Parts List'!$D$2="CDN$",_xlfn.XLOOKUP(A1591,Prices!A:A,Prices!D:D),IF('Flow Indicator Parts List'!$D$2="US$",_xlfn.XLOOKUP(CurrencyModifier!A1591,Prices!A:A,Prices!E:E,"MISSING")))</f>
        <v>13.477</v>
      </c>
    </row>
    <row r="1592" spans="1:2">
      <c r="A1592" t="str">
        <f>Prices!A1598</f>
        <v>41358-00</v>
      </c>
      <c r="B1592" s="470">
        <f>IF('Flow Indicator Parts List'!$D$2="CDN$",_xlfn.XLOOKUP(A1592,Prices!A:A,Prices!D:D),IF('Flow Indicator Parts List'!$D$2="US$",_xlfn.XLOOKUP(CurrencyModifier!A1592,Prices!A:A,Prices!E:E,"MISSING")))</f>
        <v>15.699</v>
      </c>
    </row>
    <row r="1593" spans="1:2">
      <c r="A1593" t="str">
        <f>Prices!A1599</f>
        <v>41361-00</v>
      </c>
      <c r="B1593" s="470">
        <f>IF('Flow Indicator Parts List'!$D$2="CDN$",_xlfn.XLOOKUP(A1593,Prices!A:A,Prices!D:D),IF('Flow Indicator Parts List'!$D$2="US$",_xlfn.XLOOKUP(CurrencyModifier!A1593,Prices!A:A,Prices!E:E,"MISSING")))</f>
        <v>20.13</v>
      </c>
    </row>
    <row r="1594" spans="1:2">
      <c r="A1594" t="str">
        <f>Prices!A1600</f>
        <v>41361-01</v>
      </c>
      <c r="B1594" s="470">
        <f>IF('Flow Indicator Parts List'!$D$2="CDN$",_xlfn.XLOOKUP(A1594,Prices!A:A,Prices!D:D),IF('Flow Indicator Parts List'!$D$2="US$",_xlfn.XLOOKUP(CurrencyModifier!A1594,Prices!A:A,Prices!E:E,"MISSING")))</f>
        <v>3.2959999999999998</v>
      </c>
    </row>
    <row r="1595" spans="1:2">
      <c r="A1595" t="str">
        <f>Prices!A1601</f>
        <v>41361-02</v>
      </c>
      <c r="B1595" s="470">
        <f>IF('Flow Indicator Parts List'!$D$2="CDN$",_xlfn.XLOOKUP(A1595,Prices!A:A,Prices!D:D),IF('Flow Indicator Parts List'!$D$2="US$",_xlfn.XLOOKUP(CurrencyModifier!A1595,Prices!A:A,Prices!E:E,"MISSING")))</f>
        <v>0.29899999999999999</v>
      </c>
    </row>
    <row r="1596" spans="1:2">
      <c r="A1596" t="str">
        <f>Prices!A1602</f>
        <v>41361-V2</v>
      </c>
      <c r="B1596" s="470">
        <f>IF('Flow Indicator Parts List'!$D$2="CDN$",_xlfn.XLOOKUP(A1596,Prices!A:A,Prices!D:D),IF('Flow Indicator Parts List'!$D$2="US$",_xlfn.XLOOKUP(CurrencyModifier!A1596,Prices!A:A,Prices!E:E,"MISSING")))</f>
        <v>2.5139999999999998</v>
      </c>
    </row>
    <row r="1597" spans="1:2">
      <c r="A1597" t="str">
        <f>Prices!A1603</f>
        <v>41362-00</v>
      </c>
      <c r="B1597" s="470">
        <f>IF('Flow Indicator Parts List'!$D$2="CDN$",_xlfn.XLOOKUP(A1597,Prices!A:A,Prices!D:D),IF('Flow Indicator Parts List'!$D$2="US$",_xlfn.XLOOKUP(CurrencyModifier!A1597,Prices!A:A,Prices!E:E,"MISSING")))</f>
        <v>20.13</v>
      </c>
    </row>
    <row r="1598" spans="1:2">
      <c r="A1598" t="str">
        <f>Prices!A1604</f>
        <v>41362-01</v>
      </c>
      <c r="B1598" s="470">
        <f>IF('Flow Indicator Parts List'!$D$2="CDN$",_xlfn.XLOOKUP(A1598,Prices!A:A,Prices!D:D),IF('Flow Indicator Parts List'!$D$2="US$",_xlfn.XLOOKUP(CurrencyModifier!A1598,Prices!A:A,Prices!E:E,"MISSING")))</f>
        <v>3.2959999999999998</v>
      </c>
    </row>
    <row r="1599" spans="1:2">
      <c r="A1599" t="str">
        <f>Prices!A1605</f>
        <v>41364-00</v>
      </c>
      <c r="B1599" s="470">
        <f>IF('Flow Indicator Parts List'!$D$2="CDN$",_xlfn.XLOOKUP(A1599,Prices!A:A,Prices!D:D),IF('Flow Indicator Parts List'!$D$2="US$",_xlfn.XLOOKUP(CurrencyModifier!A1599,Prices!A:A,Prices!E:E,"MISSING")))</f>
        <v>22.077999999999999</v>
      </c>
    </row>
    <row r="1600" spans="1:2">
      <c r="A1600" t="str">
        <f>Prices!A1606</f>
        <v>41366-00</v>
      </c>
      <c r="B1600" s="470">
        <f>IF('Flow Indicator Parts List'!$D$2="CDN$",_xlfn.XLOOKUP(A1600,Prices!A:A,Prices!D:D),IF('Flow Indicator Parts List'!$D$2="US$",_xlfn.XLOOKUP(CurrencyModifier!A1600,Prices!A:A,Prices!E:E,"MISSING")))</f>
        <v>25.753</v>
      </c>
    </row>
    <row r="1601" spans="1:2">
      <c r="A1601" t="str">
        <f>Prices!A1607</f>
        <v>41368-00</v>
      </c>
      <c r="B1601" s="470">
        <f>IF('Flow Indicator Parts List'!$D$2="CDN$",_xlfn.XLOOKUP(A1601,Prices!A:A,Prices!D:D),IF('Flow Indicator Parts List'!$D$2="US$",_xlfn.XLOOKUP(CurrencyModifier!A1601,Prices!A:A,Prices!E:E,"MISSING")))</f>
        <v>14.129</v>
      </c>
    </row>
    <row r="1602" spans="1:2">
      <c r="A1602" t="str">
        <f>Prices!A1608</f>
        <v>41371-00</v>
      </c>
      <c r="B1602" s="470">
        <f>IF('Flow Indicator Parts List'!$D$2="CDN$",_xlfn.XLOOKUP(A1602,Prices!A:A,Prices!D:D),IF('Flow Indicator Parts List'!$D$2="US$",_xlfn.XLOOKUP(CurrencyModifier!A1602,Prices!A:A,Prices!E:E,"MISSING")))</f>
        <v>7.74</v>
      </c>
    </row>
    <row r="1603" spans="1:2">
      <c r="A1603" t="str">
        <f>Prices!A1609</f>
        <v>41371-01</v>
      </c>
      <c r="B1603" s="470">
        <f>IF('Flow Indicator Parts List'!$D$2="CDN$",_xlfn.XLOOKUP(A1603,Prices!A:A,Prices!D:D),IF('Flow Indicator Parts List'!$D$2="US$",_xlfn.XLOOKUP(CurrencyModifier!A1603,Prices!A:A,Prices!E:E,"MISSING")))</f>
        <v>1.5229999999999999</v>
      </c>
    </row>
    <row r="1604" spans="1:2">
      <c r="A1604" t="str">
        <f>Prices!A1610</f>
        <v>41371-03</v>
      </c>
      <c r="B1604" s="470">
        <f>IF('Flow Indicator Parts List'!$D$2="CDN$",_xlfn.XLOOKUP(A1604,Prices!A:A,Prices!D:D),IF('Flow Indicator Parts List'!$D$2="US$",_xlfn.XLOOKUP(CurrencyModifier!A1604,Prices!A:A,Prices!E:E,"MISSING")))</f>
        <v>0.436</v>
      </c>
    </row>
    <row r="1605" spans="1:2">
      <c r="A1605" t="str">
        <f>Prices!A1611</f>
        <v>41372-00</v>
      </c>
      <c r="B1605" s="470">
        <f>IF('Flow Indicator Parts List'!$D$2="CDN$",_xlfn.XLOOKUP(A1605,Prices!A:A,Prices!D:D),IF('Flow Indicator Parts List'!$D$2="US$",_xlfn.XLOOKUP(CurrencyModifier!A1605,Prices!A:A,Prices!E:E,"MISSING")))</f>
        <v>9.74</v>
      </c>
    </row>
    <row r="1606" spans="1:2">
      <c r="A1606" t="str">
        <f>Prices!A1612</f>
        <v>41372-01</v>
      </c>
      <c r="B1606" s="470">
        <f>IF('Flow Indicator Parts List'!$D$2="CDN$",_xlfn.XLOOKUP(A1606,Prices!A:A,Prices!D:D),IF('Flow Indicator Parts List'!$D$2="US$",_xlfn.XLOOKUP(CurrencyModifier!A1606,Prices!A:A,Prices!E:E,"MISSING")))</f>
        <v>1.621</v>
      </c>
    </row>
    <row r="1607" spans="1:2">
      <c r="A1607" t="str">
        <f>Prices!A1613</f>
        <v>41374-00</v>
      </c>
      <c r="B1607" s="470">
        <f>IF('Flow Indicator Parts List'!$D$2="CDN$",_xlfn.XLOOKUP(A1607,Prices!A:A,Prices!D:D),IF('Flow Indicator Parts List'!$D$2="US$",_xlfn.XLOOKUP(CurrencyModifier!A1607,Prices!A:A,Prices!E:E,"MISSING")))</f>
        <v>9.74</v>
      </c>
    </row>
    <row r="1608" spans="1:2">
      <c r="A1608" t="str">
        <f>Prices!A1614</f>
        <v>41375-00</v>
      </c>
      <c r="B1608" s="470">
        <f>IF('Flow Indicator Parts List'!$D$2="CDN$",_xlfn.XLOOKUP(A1608,Prices!A:A,Prices!D:D),IF('Flow Indicator Parts List'!$D$2="US$",_xlfn.XLOOKUP(CurrencyModifier!A1608,Prices!A:A,Prices!E:E,"MISSING")))</f>
        <v>7.74</v>
      </c>
    </row>
    <row r="1609" spans="1:2">
      <c r="A1609" t="str">
        <f>Prices!A1615</f>
        <v>41375-01</v>
      </c>
      <c r="B1609" s="470">
        <f>IF('Flow Indicator Parts List'!$D$2="CDN$",_xlfn.XLOOKUP(A1609,Prices!A:A,Prices!D:D),IF('Flow Indicator Parts List'!$D$2="US$",_xlfn.XLOOKUP(CurrencyModifier!A1609,Prices!A:A,Prices!E:E,"MISSING")))</f>
        <v>1.5569999999999999</v>
      </c>
    </row>
    <row r="1610" spans="1:2">
      <c r="A1610" t="str">
        <f>Prices!A1616</f>
        <v>41376-00</v>
      </c>
      <c r="B1610" s="470">
        <f>IF('Flow Indicator Parts List'!$D$2="CDN$",_xlfn.XLOOKUP(A1610,Prices!A:A,Prices!D:D),IF('Flow Indicator Parts List'!$D$2="US$",_xlfn.XLOOKUP(CurrencyModifier!A1610,Prices!A:A,Prices!E:E,"MISSING")))</f>
        <v>9.74</v>
      </c>
    </row>
    <row r="1611" spans="1:2">
      <c r="A1611" t="str">
        <f>Prices!A1617</f>
        <v>41376-01</v>
      </c>
      <c r="B1611" s="470">
        <f>IF('Flow Indicator Parts List'!$D$2="CDN$",_xlfn.XLOOKUP(A1611,Prices!A:A,Prices!D:D),IF('Flow Indicator Parts List'!$D$2="US$",_xlfn.XLOOKUP(CurrencyModifier!A1611,Prices!A:A,Prices!E:E,"MISSING")))</f>
        <v>1.675</v>
      </c>
    </row>
    <row r="1612" spans="1:2">
      <c r="A1612" t="str">
        <f>Prices!A1618</f>
        <v>41377-00</v>
      </c>
      <c r="B1612" s="470">
        <f>IF('Flow Indicator Parts List'!$D$2="CDN$",_xlfn.XLOOKUP(A1612,Prices!A:A,Prices!D:D),IF('Flow Indicator Parts List'!$D$2="US$",_xlfn.XLOOKUP(CurrencyModifier!A1612,Prices!A:A,Prices!E:E,"MISSING")))</f>
        <v>7.74</v>
      </c>
    </row>
    <row r="1613" spans="1:2">
      <c r="A1613" t="str">
        <f>Prices!A1619</f>
        <v>41377-01</v>
      </c>
      <c r="B1613" s="470">
        <f>IF('Flow Indicator Parts List'!$D$2="CDN$",_xlfn.XLOOKUP(A1613,Prices!A:A,Prices!D:D),IF('Flow Indicator Parts List'!$D$2="US$",_xlfn.XLOOKUP(CurrencyModifier!A1613,Prices!A:A,Prices!E:E,"MISSING")))</f>
        <v>1.5569999999999999</v>
      </c>
    </row>
    <row r="1614" spans="1:2">
      <c r="A1614" t="str">
        <f>Prices!A1620</f>
        <v>41378-00</v>
      </c>
      <c r="B1614" s="470">
        <f>IF('Flow Indicator Parts List'!$D$2="CDN$",_xlfn.XLOOKUP(A1614,Prices!A:A,Prices!D:D),IF('Flow Indicator Parts List'!$D$2="US$",_xlfn.XLOOKUP(CurrencyModifier!A1614,Prices!A:A,Prices!E:E,"MISSING")))</f>
        <v>9.74</v>
      </c>
    </row>
    <row r="1615" spans="1:2">
      <c r="A1615" t="str">
        <f>Prices!A1621</f>
        <v>41378-01</v>
      </c>
      <c r="B1615" s="470">
        <f>IF('Flow Indicator Parts List'!$D$2="CDN$",_xlfn.XLOOKUP(A1615,Prices!A:A,Prices!D:D),IF('Flow Indicator Parts List'!$D$2="US$",_xlfn.XLOOKUP(CurrencyModifier!A1615,Prices!A:A,Prices!E:E,"MISSING")))</f>
        <v>1.675</v>
      </c>
    </row>
    <row r="1616" spans="1:2">
      <c r="A1616" t="str">
        <f>Prices!A1622</f>
        <v>41379-00</v>
      </c>
      <c r="B1616" s="470">
        <f>IF('Flow Indicator Parts List'!$D$2="CDN$",_xlfn.XLOOKUP(A1616,Prices!A:A,Prices!D:D),IF('Flow Indicator Parts List'!$D$2="US$",_xlfn.XLOOKUP(CurrencyModifier!A1616,Prices!A:A,Prices!E:E,"MISSING")))</f>
        <v>9.74</v>
      </c>
    </row>
    <row r="1617" spans="1:2">
      <c r="A1617" t="str">
        <f>Prices!A1623</f>
        <v>41379-01</v>
      </c>
      <c r="B1617" s="470">
        <f>IF('Flow Indicator Parts List'!$D$2="CDN$",_xlfn.XLOOKUP(A1617,Prices!A:A,Prices!D:D),IF('Flow Indicator Parts List'!$D$2="US$",_xlfn.XLOOKUP(CurrencyModifier!A1617,Prices!A:A,Prices!E:E,"MISSING")))</f>
        <v>1.675</v>
      </c>
    </row>
    <row r="1618" spans="1:2">
      <c r="A1618" t="str">
        <f>Prices!A1624</f>
        <v>41381-00</v>
      </c>
      <c r="B1618" s="470">
        <f>IF('Flow Indicator Parts List'!$D$2="CDN$",_xlfn.XLOOKUP(A1618,Prices!A:A,Prices!D:D),IF('Flow Indicator Parts List'!$D$2="US$",_xlfn.XLOOKUP(CurrencyModifier!A1618,Prices!A:A,Prices!E:E,"MISSING")))</f>
        <v>18.13</v>
      </c>
    </row>
    <row r="1619" spans="1:2">
      <c r="A1619" t="str">
        <f>Prices!A1625</f>
        <v>41381-02</v>
      </c>
      <c r="B1619" s="470">
        <f>IF('Flow Indicator Parts List'!$D$2="CDN$",_xlfn.XLOOKUP(A1619,Prices!A:A,Prices!D:D),IF('Flow Indicator Parts List'!$D$2="US$",_xlfn.XLOOKUP(CurrencyModifier!A1619,Prices!A:A,Prices!E:E,"MISSING")))</f>
        <v>3.0979999999999999</v>
      </c>
    </row>
    <row r="1620" spans="1:2">
      <c r="A1620" t="str">
        <f>Prices!A1626</f>
        <v>41382-00</v>
      </c>
      <c r="B1620" s="470">
        <f>IF('Flow Indicator Parts List'!$D$2="CDN$",_xlfn.XLOOKUP(A1620,Prices!A:A,Prices!D:D),IF('Flow Indicator Parts List'!$D$2="US$",_xlfn.XLOOKUP(CurrencyModifier!A1620,Prices!A:A,Prices!E:E,"MISSING")))</f>
        <v>20.13</v>
      </c>
    </row>
    <row r="1621" spans="1:2">
      <c r="A1621" t="str">
        <f>Prices!A1627</f>
        <v>41382-01</v>
      </c>
      <c r="B1621" s="470">
        <f>IF('Flow Indicator Parts List'!$D$2="CDN$",_xlfn.XLOOKUP(A1621,Prices!A:A,Prices!D:D),IF('Flow Indicator Parts List'!$D$2="US$",_xlfn.XLOOKUP(CurrencyModifier!A1621,Prices!A:A,Prices!E:E,"MISSING")))</f>
        <v>3.2970000000000002</v>
      </c>
    </row>
    <row r="1622" spans="1:2">
      <c r="A1622" t="str">
        <f>Prices!A1628</f>
        <v>41383-00</v>
      </c>
      <c r="B1622" s="470">
        <f>IF('Flow Indicator Parts List'!$D$2="CDN$",_xlfn.XLOOKUP(A1622,Prices!A:A,Prices!D:D),IF('Flow Indicator Parts List'!$D$2="US$",_xlfn.XLOOKUP(CurrencyModifier!A1622,Prices!A:A,Prices!E:E,"MISSING")))</f>
        <v>20.077999999999999</v>
      </c>
    </row>
    <row r="1623" spans="1:2">
      <c r="A1623" t="str">
        <f>Prices!A1629</f>
        <v>41384-00</v>
      </c>
      <c r="B1623" s="470">
        <f>IF('Flow Indicator Parts List'!$D$2="CDN$",_xlfn.XLOOKUP(A1623,Prices!A:A,Prices!D:D),IF('Flow Indicator Parts List'!$D$2="US$",_xlfn.XLOOKUP(CurrencyModifier!A1623,Prices!A:A,Prices!E:E,"MISSING")))</f>
        <v>22.077999999999999</v>
      </c>
    </row>
    <row r="1624" spans="1:2">
      <c r="A1624" t="str">
        <f>Prices!A1630</f>
        <v>41385-00</v>
      </c>
      <c r="B1624" s="470">
        <f>IF('Flow Indicator Parts List'!$D$2="CDN$",_xlfn.XLOOKUP(A1624,Prices!A:A,Prices!D:D),IF('Flow Indicator Parts List'!$D$2="US$",_xlfn.XLOOKUP(CurrencyModifier!A1624,Prices!A:A,Prices!E:E,"MISSING")))</f>
        <v>23.753</v>
      </c>
    </row>
    <row r="1625" spans="1:2">
      <c r="A1625" t="str">
        <f>Prices!A1631</f>
        <v>41386-00</v>
      </c>
      <c r="B1625" s="470">
        <f>IF('Flow Indicator Parts List'!$D$2="CDN$",_xlfn.XLOOKUP(A1625,Prices!A:A,Prices!D:D),IF('Flow Indicator Parts List'!$D$2="US$",_xlfn.XLOOKUP(CurrencyModifier!A1625,Prices!A:A,Prices!E:E,"MISSING")))</f>
        <v>25.753</v>
      </c>
    </row>
    <row r="1626" spans="1:2">
      <c r="A1626" t="str">
        <f>Prices!A1632</f>
        <v>41387-00</v>
      </c>
      <c r="B1626" s="470">
        <f>IF('Flow Indicator Parts List'!$D$2="CDN$",_xlfn.XLOOKUP(A1626,Prices!A:A,Prices!D:D),IF('Flow Indicator Parts List'!$D$2="US$",_xlfn.XLOOKUP(CurrencyModifier!A1626,Prices!A:A,Prices!E:E,"MISSING")))</f>
        <v>12.129</v>
      </c>
    </row>
    <row r="1627" spans="1:2">
      <c r="A1627" t="str">
        <f>Prices!A1633</f>
        <v>41388-00</v>
      </c>
      <c r="B1627" s="470">
        <f>IF('Flow Indicator Parts List'!$D$2="CDN$",_xlfn.XLOOKUP(A1627,Prices!A:A,Prices!D:D),IF('Flow Indicator Parts List'!$D$2="US$",_xlfn.XLOOKUP(CurrencyModifier!A1627,Prices!A:A,Prices!E:E,"MISSING")))</f>
        <v>14.129</v>
      </c>
    </row>
    <row r="1628" spans="1:2">
      <c r="A1628" t="str">
        <f>Prices!A1634</f>
        <v>41400-00</v>
      </c>
      <c r="B1628" s="470">
        <f>IF('Flow Indicator Parts List'!$D$2="CDN$",_xlfn.XLOOKUP(A1628,Prices!A:A,Prices!D:D),IF('Flow Indicator Parts List'!$D$2="US$",_xlfn.XLOOKUP(CurrencyModifier!A1628,Prices!A:A,Prices!E:E,"MISSING")))</f>
        <v>12.507</v>
      </c>
    </row>
    <row r="1629" spans="1:2">
      <c r="A1629" t="str">
        <f>Prices!A1635</f>
        <v>41400-01</v>
      </c>
      <c r="B1629" s="470">
        <f>IF('Flow Indicator Parts List'!$D$2="CDN$",_xlfn.XLOOKUP(A1629,Prices!A:A,Prices!D:D),IF('Flow Indicator Parts List'!$D$2="US$",_xlfn.XLOOKUP(CurrencyModifier!A1629,Prices!A:A,Prices!E:E,"MISSING")))</f>
        <v>5.47</v>
      </c>
    </row>
    <row r="1630" spans="1:2">
      <c r="A1630" t="str">
        <f>Prices!A1636</f>
        <v>41400-02</v>
      </c>
      <c r="B1630" s="470">
        <f>IF('Flow Indicator Parts List'!$D$2="CDN$",_xlfn.XLOOKUP(A1630,Prices!A:A,Prices!D:D),IF('Flow Indicator Parts List'!$D$2="US$",_xlfn.XLOOKUP(CurrencyModifier!A1630,Prices!A:A,Prices!E:E,"MISSING")))</f>
        <v>2.96</v>
      </c>
    </row>
    <row r="1631" spans="1:2">
      <c r="A1631" t="str">
        <f>Prices!A1637</f>
        <v>41400-03</v>
      </c>
      <c r="B1631" s="470">
        <f>IF('Flow Indicator Parts List'!$D$2="CDN$",_xlfn.XLOOKUP(A1631,Prices!A:A,Prices!D:D),IF('Flow Indicator Parts List'!$D$2="US$",_xlfn.XLOOKUP(CurrencyModifier!A1631,Prices!A:A,Prices!E:E,"MISSING")))</f>
        <v>3.0590000000000002</v>
      </c>
    </row>
    <row r="1632" spans="1:2">
      <c r="A1632" t="str">
        <f>Prices!A1638</f>
        <v>41400-04</v>
      </c>
      <c r="B1632" s="470">
        <f>IF('Flow Indicator Parts List'!$D$2="CDN$",_xlfn.XLOOKUP(A1632,Prices!A:A,Prices!D:D),IF('Flow Indicator Parts List'!$D$2="US$",_xlfn.XLOOKUP(CurrencyModifier!A1632,Prices!A:A,Prices!E:E,"MISSING")))</f>
        <v>2.8370000000000002</v>
      </c>
    </row>
    <row r="1633" spans="1:2">
      <c r="A1633" t="str">
        <f>Prices!A1639</f>
        <v>41400-05</v>
      </c>
      <c r="B1633" s="470">
        <f>IF('Flow Indicator Parts List'!$D$2="CDN$",_xlfn.XLOOKUP(A1633,Prices!A:A,Prices!D:D),IF('Flow Indicator Parts List'!$D$2="US$",_xlfn.XLOOKUP(CurrencyModifier!A1633,Prices!A:A,Prices!E:E,"MISSING")))</f>
        <v>2.8370000000000002</v>
      </c>
    </row>
    <row r="1634" spans="1:2">
      <c r="A1634" t="str">
        <f>Prices!A1640</f>
        <v>41401-01</v>
      </c>
      <c r="B1634" s="470">
        <f>IF('Flow Indicator Parts List'!$D$2="CDN$",_xlfn.XLOOKUP(A1634,Prices!A:A,Prices!D:D),IF('Flow Indicator Parts List'!$D$2="US$",_xlfn.XLOOKUP(CurrencyModifier!A1634,Prices!A:A,Prices!E:E,"MISSING")))</f>
        <v>6.7210000000000001</v>
      </c>
    </row>
    <row r="1635" spans="1:2">
      <c r="A1635" t="str">
        <f>Prices!A1641</f>
        <v>41402-01</v>
      </c>
      <c r="B1635" s="470">
        <f>IF('Flow Indicator Parts List'!$D$2="CDN$",_xlfn.XLOOKUP(A1635,Prices!A:A,Prices!D:D),IF('Flow Indicator Parts List'!$D$2="US$",_xlfn.XLOOKUP(CurrencyModifier!A1635,Prices!A:A,Prices!E:E,"MISSING")))</f>
        <v>4.5449999999999999</v>
      </c>
    </row>
    <row r="1636" spans="1:2">
      <c r="A1636" t="str">
        <f>Prices!A1642</f>
        <v>41402-LV0</v>
      </c>
      <c r="B1636" s="470">
        <f>IF('Flow Indicator Parts List'!$D$2="CDN$",_xlfn.XLOOKUP(A1636,Prices!A:A,Prices!D:D),IF('Flow Indicator Parts List'!$D$2="US$",_xlfn.XLOOKUP(CurrencyModifier!A1636,Prices!A:A,Prices!E:E,"MISSING")))</f>
        <v>32.402000000000001</v>
      </c>
    </row>
    <row r="1637" spans="1:2">
      <c r="A1637" t="str">
        <f>Prices!A1643</f>
        <v>41402-V0</v>
      </c>
      <c r="B1637" s="470">
        <f>IF('Flow Indicator Parts List'!$D$2="CDN$",_xlfn.XLOOKUP(A1637,Prices!A:A,Prices!D:D),IF('Flow Indicator Parts List'!$D$2="US$",_xlfn.XLOOKUP(CurrencyModifier!A1637,Prices!A:A,Prices!E:E,"MISSING")))</f>
        <v>32.402000000000001</v>
      </c>
    </row>
    <row r="1638" spans="1:2">
      <c r="A1638" t="str">
        <f>Prices!A1644</f>
        <v>41403-00</v>
      </c>
      <c r="B1638" s="470">
        <f>IF('Flow Indicator Parts List'!$D$2="CDN$",_xlfn.XLOOKUP(A1638,Prices!A:A,Prices!D:D),IF('Flow Indicator Parts List'!$D$2="US$",_xlfn.XLOOKUP(CurrencyModifier!A1638,Prices!A:A,Prices!E:E,"MISSING")))</f>
        <v>3.7650000000000001</v>
      </c>
    </row>
    <row r="1639" spans="1:2">
      <c r="A1639" t="str">
        <f>Prices!A1645</f>
        <v>41403-V0</v>
      </c>
      <c r="B1639" s="470">
        <f>IF('Flow Indicator Parts List'!$D$2="CDN$",_xlfn.XLOOKUP(A1639,Prices!A:A,Prices!D:D),IF('Flow Indicator Parts List'!$D$2="US$",_xlfn.XLOOKUP(CurrencyModifier!A1639,Prices!A:A,Prices!E:E,"MISSING")))</f>
        <v>6.3639999999999999</v>
      </c>
    </row>
    <row r="1640" spans="1:2">
      <c r="A1640" t="str">
        <f>Prices!A1646</f>
        <v>41411-00</v>
      </c>
      <c r="B1640" s="470">
        <f>IF('Flow Indicator Parts List'!$D$2="CDN$",_xlfn.XLOOKUP(A1640,Prices!A:A,Prices!D:D),IF('Flow Indicator Parts List'!$D$2="US$",_xlfn.XLOOKUP(CurrencyModifier!A1640,Prices!A:A,Prices!E:E,"MISSING")))</f>
        <v>18.13</v>
      </c>
    </row>
    <row r="1641" spans="1:2">
      <c r="A1641" t="str">
        <f>Prices!A1647</f>
        <v>41411-02</v>
      </c>
      <c r="B1641" s="470">
        <f>IF('Flow Indicator Parts List'!$D$2="CDN$",_xlfn.XLOOKUP(A1641,Prices!A:A,Prices!D:D),IF('Flow Indicator Parts List'!$D$2="US$",_xlfn.XLOOKUP(CurrencyModifier!A1641,Prices!A:A,Prices!E:E,"MISSING")))</f>
        <v>0.69299999999999995</v>
      </c>
    </row>
    <row r="1642" spans="1:2">
      <c r="A1642" t="str">
        <f>Prices!A1648</f>
        <v>41412-00</v>
      </c>
      <c r="B1642" s="470">
        <f>IF('Flow Indicator Parts List'!$D$2="CDN$",_xlfn.XLOOKUP(A1642,Prices!A:A,Prices!D:D),IF('Flow Indicator Parts List'!$D$2="US$",_xlfn.XLOOKUP(CurrencyModifier!A1642,Prices!A:A,Prices!E:E,"MISSING")))</f>
        <v>20.13</v>
      </c>
    </row>
    <row r="1643" spans="1:2">
      <c r="A1643" t="str">
        <f>Prices!A1649</f>
        <v>41413-00</v>
      </c>
      <c r="B1643" s="470">
        <f>IF('Flow Indicator Parts List'!$D$2="CDN$",_xlfn.XLOOKUP(A1643,Prices!A:A,Prices!D:D),IF('Flow Indicator Parts List'!$D$2="US$",_xlfn.XLOOKUP(CurrencyModifier!A1643,Prices!A:A,Prices!E:E,"MISSING")))</f>
        <v>20.077999999999999</v>
      </c>
    </row>
    <row r="1644" spans="1:2">
      <c r="A1644" t="str">
        <f>Prices!A1650</f>
        <v>41414-00</v>
      </c>
      <c r="B1644" s="470">
        <f>IF('Flow Indicator Parts List'!$D$2="CDN$",_xlfn.XLOOKUP(A1644,Prices!A:A,Prices!D:D),IF('Flow Indicator Parts List'!$D$2="US$",_xlfn.XLOOKUP(CurrencyModifier!A1644,Prices!A:A,Prices!E:E,"MISSING")))</f>
        <v>22.077999999999999</v>
      </c>
    </row>
    <row r="1645" spans="1:2">
      <c r="A1645" t="str">
        <f>Prices!A1651</f>
        <v>41415-00</v>
      </c>
      <c r="B1645" s="470">
        <f>IF('Flow Indicator Parts List'!$D$2="CDN$",_xlfn.XLOOKUP(A1645,Prices!A:A,Prices!D:D),IF('Flow Indicator Parts List'!$D$2="US$",_xlfn.XLOOKUP(CurrencyModifier!A1645,Prices!A:A,Prices!E:E,"MISSING")))</f>
        <v>23.753</v>
      </c>
    </row>
    <row r="1646" spans="1:2">
      <c r="A1646" t="str">
        <f>Prices!A1652</f>
        <v>41416-00</v>
      </c>
      <c r="B1646" s="470">
        <f>IF('Flow Indicator Parts List'!$D$2="CDN$",_xlfn.XLOOKUP(A1646,Prices!A:A,Prices!D:D),IF('Flow Indicator Parts List'!$D$2="US$",_xlfn.XLOOKUP(CurrencyModifier!A1646,Prices!A:A,Prices!E:E,"MISSING")))</f>
        <v>25.753</v>
      </c>
    </row>
    <row r="1647" spans="1:2">
      <c r="A1647" t="str">
        <f>Prices!A1653</f>
        <v>41417-00</v>
      </c>
      <c r="B1647" s="470">
        <f>IF('Flow Indicator Parts List'!$D$2="CDN$",_xlfn.XLOOKUP(A1647,Prices!A:A,Prices!D:D),IF('Flow Indicator Parts List'!$D$2="US$",_xlfn.XLOOKUP(CurrencyModifier!A1647,Prices!A:A,Prices!E:E,"MISSING")))</f>
        <v>12.129</v>
      </c>
    </row>
    <row r="1648" spans="1:2">
      <c r="A1648" t="str">
        <f>Prices!A1654</f>
        <v>41418-00</v>
      </c>
      <c r="B1648" s="470">
        <f>IF('Flow Indicator Parts List'!$D$2="CDN$",_xlfn.XLOOKUP(A1648,Prices!A:A,Prices!D:D),IF('Flow Indicator Parts List'!$D$2="US$",_xlfn.XLOOKUP(CurrencyModifier!A1648,Prices!A:A,Prices!E:E,"MISSING")))</f>
        <v>14.129</v>
      </c>
    </row>
    <row r="1649" spans="1:2">
      <c r="A1649" t="str">
        <f>Prices!A1655</f>
        <v>41421-00</v>
      </c>
      <c r="B1649" s="470">
        <f>IF('Flow Indicator Parts List'!$D$2="CDN$",_xlfn.XLOOKUP(A1649,Prices!A:A,Prices!D:D),IF('Flow Indicator Parts List'!$D$2="US$",_xlfn.XLOOKUP(CurrencyModifier!A1649,Prices!A:A,Prices!E:E,"MISSING")))</f>
        <v>18.13</v>
      </c>
    </row>
    <row r="1650" spans="1:2">
      <c r="A1650" t="str">
        <f>Prices!A1656</f>
        <v>41421-02</v>
      </c>
      <c r="B1650" s="470">
        <f>IF('Flow Indicator Parts List'!$D$2="CDN$",_xlfn.XLOOKUP(A1650,Prices!A:A,Prices!D:D),IF('Flow Indicator Parts List'!$D$2="US$",_xlfn.XLOOKUP(CurrencyModifier!A1650,Prices!A:A,Prices!E:E,"MISSING")))</f>
        <v>0.748</v>
      </c>
    </row>
    <row r="1651" spans="1:2">
      <c r="A1651" t="str">
        <f>Prices!A1657</f>
        <v>41422-00</v>
      </c>
      <c r="B1651" s="470">
        <f>IF('Flow Indicator Parts List'!$D$2="CDN$",_xlfn.XLOOKUP(A1651,Prices!A:A,Prices!D:D),IF('Flow Indicator Parts List'!$D$2="US$",_xlfn.XLOOKUP(CurrencyModifier!A1651,Prices!A:A,Prices!E:E,"MISSING")))</f>
        <v>20.13</v>
      </c>
    </row>
    <row r="1652" spans="1:2">
      <c r="A1652" t="str">
        <f>Prices!A1658</f>
        <v>41422-01</v>
      </c>
      <c r="B1652" s="470">
        <f>IF('Flow Indicator Parts List'!$D$2="CDN$",_xlfn.XLOOKUP(A1652,Prices!A:A,Prices!D:D),IF('Flow Indicator Parts List'!$D$2="US$",_xlfn.XLOOKUP(CurrencyModifier!A1652,Prices!A:A,Prices!E:E,"MISSING")))</f>
        <v>3.2970000000000002</v>
      </c>
    </row>
    <row r="1653" spans="1:2">
      <c r="A1653" t="str">
        <f>Prices!A1659</f>
        <v>41423-00</v>
      </c>
      <c r="B1653" s="470">
        <f>IF('Flow Indicator Parts List'!$D$2="CDN$",_xlfn.XLOOKUP(A1653,Prices!A:A,Prices!D:D),IF('Flow Indicator Parts List'!$D$2="US$",_xlfn.XLOOKUP(CurrencyModifier!A1653,Prices!A:A,Prices!E:E,"MISSING")))</f>
        <v>20.077999999999999</v>
      </c>
    </row>
    <row r="1654" spans="1:2">
      <c r="A1654" t="str">
        <f>Prices!A1660</f>
        <v>41424-00</v>
      </c>
      <c r="B1654" s="470">
        <f>IF('Flow Indicator Parts List'!$D$2="CDN$",_xlfn.XLOOKUP(A1654,Prices!A:A,Prices!D:D),IF('Flow Indicator Parts List'!$D$2="US$",_xlfn.XLOOKUP(CurrencyModifier!A1654,Prices!A:A,Prices!E:E,"MISSING")))</f>
        <v>22.077999999999999</v>
      </c>
    </row>
    <row r="1655" spans="1:2">
      <c r="A1655" t="str">
        <f>Prices!A1661</f>
        <v>41425-00</v>
      </c>
      <c r="B1655" s="470">
        <f>IF('Flow Indicator Parts List'!$D$2="CDN$",_xlfn.XLOOKUP(A1655,Prices!A:A,Prices!D:D),IF('Flow Indicator Parts List'!$D$2="US$",_xlfn.XLOOKUP(CurrencyModifier!A1655,Prices!A:A,Prices!E:E,"MISSING")))</f>
        <v>23.753</v>
      </c>
    </row>
    <row r="1656" spans="1:2">
      <c r="A1656" t="str">
        <f>Prices!A1662</f>
        <v>41426-00</v>
      </c>
      <c r="B1656" s="470">
        <f>IF('Flow Indicator Parts List'!$D$2="CDN$",_xlfn.XLOOKUP(A1656,Prices!A:A,Prices!D:D),IF('Flow Indicator Parts List'!$D$2="US$",_xlfn.XLOOKUP(CurrencyModifier!A1656,Prices!A:A,Prices!E:E,"MISSING")))</f>
        <v>25.753</v>
      </c>
    </row>
    <row r="1657" spans="1:2">
      <c r="A1657" t="str">
        <f>Prices!A1663</f>
        <v>41427-00</v>
      </c>
      <c r="B1657" s="470">
        <f>IF('Flow Indicator Parts List'!$D$2="CDN$",_xlfn.XLOOKUP(A1657,Prices!A:A,Prices!D:D),IF('Flow Indicator Parts List'!$D$2="US$",_xlfn.XLOOKUP(CurrencyModifier!A1657,Prices!A:A,Prices!E:E,"MISSING")))</f>
        <v>12.129</v>
      </c>
    </row>
    <row r="1658" spans="1:2">
      <c r="A1658" t="str">
        <f>Prices!A1664</f>
        <v>41428-00</v>
      </c>
      <c r="B1658" s="470">
        <f>IF('Flow Indicator Parts List'!$D$2="CDN$",_xlfn.XLOOKUP(A1658,Prices!A:A,Prices!D:D),IF('Flow Indicator Parts List'!$D$2="US$",_xlfn.XLOOKUP(CurrencyModifier!A1658,Prices!A:A,Prices!E:E,"MISSING")))</f>
        <v>14.129</v>
      </c>
    </row>
    <row r="1659" spans="1:2">
      <c r="A1659" t="str">
        <f>Prices!A1665</f>
        <v>41431-00</v>
      </c>
      <c r="B1659" s="470">
        <f>IF('Flow Indicator Parts List'!$D$2="CDN$",_xlfn.XLOOKUP(A1659,Prices!A:A,Prices!D:D),IF('Flow Indicator Parts List'!$D$2="US$",_xlfn.XLOOKUP(CurrencyModifier!A1659,Prices!A:A,Prices!E:E,"MISSING")))</f>
        <v>18.13</v>
      </c>
    </row>
    <row r="1660" spans="1:2">
      <c r="A1660" t="str">
        <f>Prices!A1666</f>
        <v>41431-02</v>
      </c>
      <c r="B1660" s="470">
        <f>IF('Flow Indicator Parts List'!$D$2="CDN$",_xlfn.XLOOKUP(A1660,Prices!A:A,Prices!D:D),IF('Flow Indicator Parts List'!$D$2="US$",_xlfn.XLOOKUP(CurrencyModifier!A1660,Prices!A:A,Prices!E:E,"MISSING")))</f>
        <v>0.72799999999999998</v>
      </c>
    </row>
    <row r="1661" spans="1:2">
      <c r="A1661" t="str">
        <f>Prices!A1667</f>
        <v>41432-00</v>
      </c>
      <c r="B1661" s="470">
        <f>IF('Flow Indicator Parts List'!$D$2="CDN$",_xlfn.XLOOKUP(A1661,Prices!A:A,Prices!D:D),IF('Flow Indicator Parts List'!$D$2="US$",_xlfn.XLOOKUP(CurrencyModifier!A1661,Prices!A:A,Prices!E:E,"MISSING")))</f>
        <v>20.13</v>
      </c>
    </row>
    <row r="1662" spans="1:2">
      <c r="A1662" t="str">
        <f>Prices!A1668</f>
        <v>41433-00</v>
      </c>
      <c r="B1662" s="470">
        <f>IF('Flow Indicator Parts List'!$D$2="CDN$",_xlfn.XLOOKUP(A1662,Prices!A:A,Prices!D:D),IF('Flow Indicator Parts List'!$D$2="US$",_xlfn.XLOOKUP(CurrencyModifier!A1662,Prices!A:A,Prices!E:E,"MISSING")))</f>
        <v>20.077999999999999</v>
      </c>
    </row>
    <row r="1663" spans="1:2">
      <c r="A1663" t="str">
        <f>Prices!A1669</f>
        <v>41434-00</v>
      </c>
      <c r="B1663" s="470">
        <f>IF('Flow Indicator Parts List'!$D$2="CDN$",_xlfn.XLOOKUP(A1663,Prices!A:A,Prices!D:D),IF('Flow Indicator Parts List'!$D$2="US$",_xlfn.XLOOKUP(CurrencyModifier!A1663,Prices!A:A,Prices!E:E,"MISSING")))</f>
        <v>22.077999999999999</v>
      </c>
    </row>
    <row r="1664" spans="1:2">
      <c r="A1664" t="str">
        <f>Prices!A1670</f>
        <v>41435-00</v>
      </c>
      <c r="B1664" s="470">
        <f>IF('Flow Indicator Parts List'!$D$2="CDN$",_xlfn.XLOOKUP(A1664,Prices!A:A,Prices!D:D),IF('Flow Indicator Parts List'!$D$2="US$",_xlfn.XLOOKUP(CurrencyModifier!A1664,Prices!A:A,Prices!E:E,"MISSING")))</f>
        <v>23.753</v>
      </c>
    </row>
    <row r="1665" spans="1:2">
      <c r="A1665" t="str">
        <f>Prices!A1671</f>
        <v>41436-00</v>
      </c>
      <c r="B1665" s="470">
        <f>IF('Flow Indicator Parts List'!$D$2="CDN$",_xlfn.XLOOKUP(A1665,Prices!A:A,Prices!D:D),IF('Flow Indicator Parts List'!$D$2="US$",_xlfn.XLOOKUP(CurrencyModifier!A1665,Prices!A:A,Prices!E:E,"MISSING")))</f>
        <v>25.753</v>
      </c>
    </row>
    <row r="1666" spans="1:2">
      <c r="A1666" t="str">
        <f>Prices!A1672</f>
        <v>41437-00</v>
      </c>
      <c r="B1666" s="470">
        <f>IF('Flow Indicator Parts List'!$D$2="CDN$",_xlfn.XLOOKUP(A1666,Prices!A:A,Prices!D:D),IF('Flow Indicator Parts List'!$D$2="US$",_xlfn.XLOOKUP(CurrencyModifier!A1666,Prices!A:A,Prices!E:E,"MISSING")))</f>
        <v>12.129</v>
      </c>
    </row>
    <row r="1667" spans="1:2">
      <c r="A1667" t="str">
        <f>Prices!A1673</f>
        <v>41438-00</v>
      </c>
      <c r="B1667" s="470">
        <f>IF('Flow Indicator Parts List'!$D$2="CDN$",_xlfn.XLOOKUP(A1667,Prices!A:A,Prices!D:D),IF('Flow Indicator Parts List'!$D$2="US$",_xlfn.XLOOKUP(CurrencyModifier!A1667,Prices!A:A,Prices!E:E,"MISSING")))</f>
        <v>14.129</v>
      </c>
    </row>
    <row r="1668" spans="1:2">
      <c r="A1668" t="str">
        <f>Prices!A1674</f>
        <v>41441-00</v>
      </c>
      <c r="B1668" s="470">
        <f>IF('Flow Indicator Parts List'!$D$2="CDN$",_xlfn.XLOOKUP(A1668,Prices!A:A,Prices!D:D),IF('Flow Indicator Parts List'!$D$2="US$",_xlfn.XLOOKUP(CurrencyModifier!A1668,Prices!A:A,Prices!E:E,"MISSING")))</f>
        <v>18.13</v>
      </c>
    </row>
    <row r="1669" spans="1:2">
      <c r="A1669" t="str">
        <f>Prices!A1675</f>
        <v>41442-00</v>
      </c>
      <c r="B1669" s="470">
        <f>IF('Flow Indicator Parts List'!$D$2="CDN$",_xlfn.XLOOKUP(A1669,Prices!A:A,Prices!D:D),IF('Flow Indicator Parts List'!$D$2="US$",_xlfn.XLOOKUP(CurrencyModifier!A1669,Prices!A:A,Prices!E:E,"MISSING")))</f>
        <v>20.13</v>
      </c>
    </row>
    <row r="1670" spans="1:2">
      <c r="A1670" t="str">
        <f>Prices!A1676</f>
        <v>41443-00</v>
      </c>
      <c r="B1670" s="470">
        <f>IF('Flow Indicator Parts List'!$D$2="CDN$",_xlfn.XLOOKUP(A1670,Prices!A:A,Prices!D:D),IF('Flow Indicator Parts List'!$D$2="US$",_xlfn.XLOOKUP(CurrencyModifier!A1670,Prices!A:A,Prices!E:E,"MISSING")))</f>
        <v>20.077999999999999</v>
      </c>
    </row>
    <row r="1671" spans="1:2">
      <c r="A1671" t="str">
        <f>Prices!A1677</f>
        <v>41444-00</v>
      </c>
      <c r="B1671" s="470">
        <f>IF('Flow Indicator Parts List'!$D$2="CDN$",_xlfn.XLOOKUP(A1671,Prices!A:A,Prices!D:D),IF('Flow Indicator Parts List'!$D$2="US$",_xlfn.XLOOKUP(CurrencyModifier!A1671,Prices!A:A,Prices!E:E,"MISSING")))</f>
        <v>22.077999999999999</v>
      </c>
    </row>
    <row r="1672" spans="1:2">
      <c r="A1672" t="str">
        <f>Prices!A1678</f>
        <v>41445-00</v>
      </c>
      <c r="B1672" s="470">
        <f>IF('Flow Indicator Parts List'!$D$2="CDN$",_xlfn.XLOOKUP(A1672,Prices!A:A,Prices!D:D),IF('Flow Indicator Parts List'!$D$2="US$",_xlfn.XLOOKUP(CurrencyModifier!A1672,Prices!A:A,Prices!E:E,"MISSING")))</f>
        <v>23.753</v>
      </c>
    </row>
    <row r="1673" spans="1:2">
      <c r="A1673" t="str">
        <f>Prices!A1679</f>
        <v>41446-00</v>
      </c>
      <c r="B1673" s="470">
        <f>IF('Flow Indicator Parts List'!$D$2="CDN$",_xlfn.XLOOKUP(A1673,Prices!A:A,Prices!D:D),IF('Flow Indicator Parts List'!$D$2="US$",_xlfn.XLOOKUP(CurrencyModifier!A1673,Prices!A:A,Prices!E:E,"MISSING")))</f>
        <v>25.753</v>
      </c>
    </row>
    <row r="1674" spans="1:2">
      <c r="A1674" t="str">
        <f>Prices!A1680</f>
        <v>41447-00</v>
      </c>
      <c r="B1674" s="470">
        <f>IF('Flow Indicator Parts List'!$D$2="CDN$",_xlfn.XLOOKUP(A1674,Prices!A:A,Prices!D:D),IF('Flow Indicator Parts List'!$D$2="US$",_xlfn.XLOOKUP(CurrencyModifier!A1674,Prices!A:A,Prices!E:E,"MISSING")))</f>
        <v>12.129</v>
      </c>
    </row>
    <row r="1675" spans="1:2">
      <c r="A1675" t="str">
        <f>Prices!A1681</f>
        <v>41448-00</v>
      </c>
      <c r="B1675" s="470">
        <f>IF('Flow Indicator Parts List'!$D$2="CDN$",_xlfn.XLOOKUP(A1675,Prices!A:A,Prices!D:D),IF('Flow Indicator Parts List'!$D$2="US$",_xlfn.XLOOKUP(CurrencyModifier!A1675,Prices!A:A,Prices!E:E,"MISSING")))</f>
        <v>14.129</v>
      </c>
    </row>
    <row r="1676" spans="1:2">
      <c r="A1676" t="str">
        <f>Prices!A1682</f>
        <v>41451-00</v>
      </c>
      <c r="B1676" s="470">
        <f>IF('Flow Indicator Parts List'!$D$2="CDN$",_xlfn.XLOOKUP(A1676,Prices!A:A,Prices!D:D),IF('Flow Indicator Parts List'!$D$2="US$",_xlfn.XLOOKUP(CurrencyModifier!A1676,Prices!A:A,Prices!E:E,"MISSING")))</f>
        <v>20.143999999999998</v>
      </c>
    </row>
    <row r="1677" spans="1:2">
      <c r="A1677" t="str">
        <f>Prices!A1683</f>
        <v>41452-00</v>
      </c>
      <c r="B1677" s="470">
        <f>IF('Flow Indicator Parts List'!$D$2="CDN$",_xlfn.XLOOKUP(A1677,Prices!A:A,Prices!D:D),IF('Flow Indicator Parts List'!$D$2="US$",_xlfn.XLOOKUP(CurrencyModifier!A1677,Prices!A:A,Prices!E:E,"MISSING")))</f>
        <v>22.367000000000001</v>
      </c>
    </row>
    <row r="1678" spans="1:2">
      <c r="A1678" t="str">
        <f>Prices!A1684</f>
        <v>41453-00</v>
      </c>
      <c r="B1678" s="470">
        <f>IF('Flow Indicator Parts List'!$D$2="CDN$",_xlfn.XLOOKUP(A1678,Prices!A:A,Prices!D:D),IF('Flow Indicator Parts List'!$D$2="US$",_xlfn.XLOOKUP(CurrencyModifier!A1678,Prices!A:A,Prices!E:E,"MISSING")))</f>
        <v>22.309000000000001</v>
      </c>
    </row>
    <row r="1679" spans="1:2">
      <c r="A1679" t="str">
        <f>Prices!A1685</f>
        <v>41454-00</v>
      </c>
      <c r="B1679" s="470">
        <f>IF('Flow Indicator Parts List'!$D$2="CDN$",_xlfn.XLOOKUP(A1679,Prices!A:A,Prices!D:D),IF('Flow Indicator Parts List'!$D$2="US$",_xlfn.XLOOKUP(CurrencyModifier!A1679,Prices!A:A,Prices!E:E,"MISSING")))</f>
        <v>24.530999999999999</v>
      </c>
    </row>
    <row r="1680" spans="1:2">
      <c r="A1680" t="str">
        <f>Prices!A1686</f>
        <v>41455-00</v>
      </c>
      <c r="B1680" s="470">
        <f>IF('Flow Indicator Parts List'!$D$2="CDN$",_xlfn.XLOOKUP(A1680,Prices!A:A,Prices!D:D),IF('Flow Indicator Parts List'!$D$2="US$",_xlfn.XLOOKUP(CurrencyModifier!A1680,Prices!A:A,Prices!E:E,"MISSING")))</f>
        <v>26.294</v>
      </c>
    </row>
    <row r="1681" spans="1:2">
      <c r="A1681" t="str">
        <f>Prices!A1687</f>
        <v>41456-00</v>
      </c>
      <c r="B1681" s="470">
        <f>IF('Flow Indicator Parts List'!$D$2="CDN$",_xlfn.XLOOKUP(A1681,Prices!A:A,Prices!D:D),IF('Flow Indicator Parts List'!$D$2="US$",_xlfn.XLOOKUP(CurrencyModifier!A1681,Prices!A:A,Prices!E:E,"MISSING")))</f>
        <v>28.515999999999998</v>
      </c>
    </row>
    <row r="1682" spans="1:2">
      <c r="A1682" t="str">
        <f>Prices!A1688</f>
        <v>41457-00</v>
      </c>
      <c r="B1682" s="470">
        <f>IF('Flow Indicator Parts List'!$D$2="CDN$",_xlfn.XLOOKUP(A1682,Prices!A:A,Prices!D:D),IF('Flow Indicator Parts List'!$D$2="US$",_xlfn.XLOOKUP(CurrencyModifier!A1682,Prices!A:A,Prices!E:E,"MISSING")))</f>
        <v>13.477</v>
      </c>
    </row>
    <row r="1683" spans="1:2">
      <c r="A1683" t="str">
        <f>Prices!A1689</f>
        <v>41458-00</v>
      </c>
      <c r="B1683" s="470">
        <f>IF('Flow Indicator Parts List'!$D$2="CDN$",_xlfn.XLOOKUP(A1683,Prices!A:A,Prices!D:D),IF('Flow Indicator Parts List'!$D$2="US$",_xlfn.XLOOKUP(CurrencyModifier!A1683,Prices!A:A,Prices!E:E,"MISSING")))</f>
        <v>15.699</v>
      </c>
    </row>
    <row r="1684" spans="1:2">
      <c r="A1684" t="str">
        <f>Prices!A1690</f>
        <v>41462-00</v>
      </c>
      <c r="B1684" s="470">
        <f>IF('Flow Indicator Parts List'!$D$2="CDN$",_xlfn.XLOOKUP(A1684,Prices!A:A,Prices!D:D),IF('Flow Indicator Parts List'!$D$2="US$",_xlfn.XLOOKUP(CurrencyModifier!A1684,Prices!A:A,Prices!E:E,"MISSING")))</f>
        <v>20.13</v>
      </c>
    </row>
    <row r="1685" spans="1:2">
      <c r="A1685" t="str">
        <f>Prices!A1691</f>
        <v>41464-00</v>
      </c>
      <c r="B1685" s="470">
        <f>IF('Flow Indicator Parts List'!$D$2="CDN$",_xlfn.XLOOKUP(A1685,Prices!A:A,Prices!D:D),IF('Flow Indicator Parts List'!$D$2="US$",_xlfn.XLOOKUP(CurrencyModifier!A1685,Prices!A:A,Prices!E:E,"MISSING")))</f>
        <v>22.077999999999999</v>
      </c>
    </row>
    <row r="1686" spans="1:2">
      <c r="A1686" t="str">
        <f>Prices!A1692</f>
        <v>41466-00</v>
      </c>
      <c r="B1686" s="470">
        <f>IF('Flow Indicator Parts List'!$D$2="CDN$",_xlfn.XLOOKUP(A1686,Prices!A:A,Prices!D:D),IF('Flow Indicator Parts List'!$D$2="US$",_xlfn.XLOOKUP(CurrencyModifier!A1686,Prices!A:A,Prices!E:E,"MISSING")))</f>
        <v>25.753</v>
      </c>
    </row>
    <row r="1687" spans="1:2">
      <c r="A1687" t="str">
        <f>Prices!A1693</f>
        <v>41468-00</v>
      </c>
      <c r="B1687" s="470">
        <f>IF('Flow Indicator Parts List'!$D$2="CDN$",_xlfn.XLOOKUP(A1687,Prices!A:A,Prices!D:D),IF('Flow Indicator Parts List'!$D$2="US$",_xlfn.XLOOKUP(CurrencyModifier!A1687,Prices!A:A,Prices!E:E,"MISSING")))</f>
        <v>14.129</v>
      </c>
    </row>
    <row r="1688" spans="1:2">
      <c r="A1688" t="str">
        <f>Prices!A1694</f>
        <v>41471-00</v>
      </c>
      <c r="B1688" s="470">
        <f>IF('Flow Indicator Parts List'!$D$2="CDN$",_xlfn.XLOOKUP(A1688,Prices!A:A,Prices!D:D),IF('Flow Indicator Parts List'!$D$2="US$",_xlfn.XLOOKUP(CurrencyModifier!A1688,Prices!A:A,Prices!E:E,"MISSING")))</f>
        <v>7.74</v>
      </c>
    </row>
    <row r="1689" spans="1:2">
      <c r="A1689" t="str">
        <f>Prices!A1695</f>
        <v>41472-00</v>
      </c>
      <c r="B1689" s="470">
        <f>IF('Flow Indicator Parts List'!$D$2="CDN$",_xlfn.XLOOKUP(A1689,Prices!A:A,Prices!D:D),IF('Flow Indicator Parts List'!$D$2="US$",_xlfn.XLOOKUP(CurrencyModifier!A1689,Prices!A:A,Prices!E:E,"MISSING")))</f>
        <v>9.74</v>
      </c>
    </row>
    <row r="1690" spans="1:2">
      <c r="A1690" t="str">
        <f>Prices!A1696</f>
        <v>41473-00</v>
      </c>
      <c r="B1690" s="470">
        <f>IF('Flow Indicator Parts List'!$D$2="CDN$",_xlfn.XLOOKUP(A1690,Prices!A:A,Prices!D:D),IF('Flow Indicator Parts List'!$D$2="US$",_xlfn.XLOOKUP(CurrencyModifier!A1690,Prices!A:A,Prices!E:E,"MISSING")))</f>
        <v>7.74</v>
      </c>
    </row>
    <row r="1691" spans="1:2">
      <c r="A1691" t="str">
        <f>Prices!A1697</f>
        <v>41474-00</v>
      </c>
      <c r="B1691" s="470">
        <f>IF('Flow Indicator Parts List'!$D$2="CDN$",_xlfn.XLOOKUP(A1691,Prices!A:A,Prices!D:D),IF('Flow Indicator Parts List'!$D$2="US$",_xlfn.XLOOKUP(CurrencyModifier!A1691,Prices!A:A,Prices!E:E,"MISSING")))</f>
        <v>9.74</v>
      </c>
    </row>
    <row r="1692" spans="1:2">
      <c r="A1692" t="str">
        <f>Prices!A1698</f>
        <v>41475-00</v>
      </c>
      <c r="B1692" s="470">
        <f>IF('Flow Indicator Parts List'!$D$2="CDN$",_xlfn.XLOOKUP(A1692,Prices!A:A,Prices!D:D),IF('Flow Indicator Parts List'!$D$2="US$",_xlfn.XLOOKUP(CurrencyModifier!A1692,Prices!A:A,Prices!E:E,"MISSING")))</f>
        <v>7.74</v>
      </c>
    </row>
    <row r="1693" spans="1:2">
      <c r="A1693" t="str">
        <f>Prices!A1699</f>
        <v>41476-00</v>
      </c>
      <c r="B1693" s="470">
        <f>IF('Flow Indicator Parts List'!$D$2="CDN$",_xlfn.XLOOKUP(A1693,Prices!A:A,Prices!D:D),IF('Flow Indicator Parts List'!$D$2="US$",_xlfn.XLOOKUP(CurrencyModifier!A1693,Prices!A:A,Prices!E:E,"MISSING")))</f>
        <v>9.74</v>
      </c>
    </row>
    <row r="1694" spans="1:2">
      <c r="A1694" t="str">
        <f>Prices!A1700</f>
        <v>41477-00</v>
      </c>
      <c r="B1694" s="470">
        <f>IF('Flow Indicator Parts List'!$D$2="CDN$",_xlfn.XLOOKUP(A1694,Prices!A:A,Prices!D:D),IF('Flow Indicator Parts List'!$D$2="US$",_xlfn.XLOOKUP(CurrencyModifier!A1694,Prices!A:A,Prices!E:E,"MISSING")))</f>
        <v>7.74</v>
      </c>
    </row>
    <row r="1695" spans="1:2">
      <c r="A1695" t="str">
        <f>Prices!A1701</f>
        <v>41478-00</v>
      </c>
      <c r="B1695" s="470">
        <f>IF('Flow Indicator Parts List'!$D$2="CDN$",_xlfn.XLOOKUP(A1695,Prices!A:A,Prices!D:D),IF('Flow Indicator Parts List'!$D$2="US$",_xlfn.XLOOKUP(CurrencyModifier!A1695,Prices!A:A,Prices!E:E,"MISSING")))</f>
        <v>9.74</v>
      </c>
    </row>
    <row r="1696" spans="1:2">
      <c r="A1696" t="str">
        <f>Prices!A1702</f>
        <v>41481-00</v>
      </c>
      <c r="B1696" s="470">
        <f>IF('Flow Indicator Parts List'!$D$2="CDN$",_xlfn.XLOOKUP(A1696,Prices!A:A,Prices!D:D),IF('Flow Indicator Parts List'!$D$2="US$",_xlfn.XLOOKUP(CurrencyModifier!A1696,Prices!A:A,Prices!E:E,"MISSING")))</f>
        <v>18.13</v>
      </c>
    </row>
    <row r="1697" spans="1:2">
      <c r="A1697" t="str">
        <f>Prices!A1703</f>
        <v>41481-02</v>
      </c>
      <c r="B1697" s="470">
        <f>IF('Flow Indicator Parts List'!$D$2="CDN$",_xlfn.XLOOKUP(A1697,Prices!A:A,Prices!D:D),IF('Flow Indicator Parts List'!$D$2="US$",_xlfn.XLOOKUP(CurrencyModifier!A1697,Prices!A:A,Prices!E:E,"MISSING")))</f>
        <v>3.0979999999999999</v>
      </c>
    </row>
    <row r="1698" spans="1:2">
      <c r="A1698" t="str">
        <f>Prices!A1704</f>
        <v>41482-00</v>
      </c>
      <c r="B1698" s="470">
        <f>IF('Flow Indicator Parts List'!$D$2="CDN$",_xlfn.XLOOKUP(A1698,Prices!A:A,Prices!D:D),IF('Flow Indicator Parts List'!$D$2="US$",_xlfn.XLOOKUP(CurrencyModifier!A1698,Prices!A:A,Prices!E:E,"MISSING")))</f>
        <v>20.13</v>
      </c>
    </row>
    <row r="1699" spans="1:2">
      <c r="A1699" t="str">
        <f>Prices!A1705</f>
        <v>41482-01</v>
      </c>
      <c r="B1699" s="470">
        <f>IF('Flow Indicator Parts List'!$D$2="CDN$",_xlfn.XLOOKUP(A1699,Prices!A:A,Prices!D:D),IF('Flow Indicator Parts List'!$D$2="US$",_xlfn.XLOOKUP(CurrencyModifier!A1699,Prices!A:A,Prices!E:E,"MISSING")))</f>
        <v>3.2970000000000002</v>
      </c>
    </row>
    <row r="1700" spans="1:2">
      <c r="A1700" t="str">
        <f>Prices!A1706</f>
        <v>41483-00</v>
      </c>
      <c r="B1700" s="470">
        <f>IF('Flow Indicator Parts List'!$D$2="CDN$",_xlfn.XLOOKUP(A1700,Prices!A:A,Prices!D:D),IF('Flow Indicator Parts List'!$D$2="US$",_xlfn.XLOOKUP(CurrencyModifier!A1700,Prices!A:A,Prices!E:E,"MISSING")))</f>
        <v>20.077999999999999</v>
      </c>
    </row>
    <row r="1701" spans="1:2">
      <c r="A1701" t="str">
        <f>Prices!A1707</f>
        <v>41484-00</v>
      </c>
      <c r="B1701" s="470">
        <f>IF('Flow Indicator Parts List'!$D$2="CDN$",_xlfn.XLOOKUP(A1701,Prices!A:A,Prices!D:D),IF('Flow Indicator Parts List'!$D$2="US$",_xlfn.XLOOKUP(CurrencyModifier!A1701,Prices!A:A,Prices!E:E,"MISSING")))</f>
        <v>22.077999999999999</v>
      </c>
    </row>
    <row r="1702" spans="1:2">
      <c r="A1702" t="str">
        <f>Prices!A1708</f>
        <v>41485-00</v>
      </c>
      <c r="B1702" s="470">
        <f>IF('Flow Indicator Parts List'!$D$2="CDN$",_xlfn.XLOOKUP(A1702,Prices!A:A,Prices!D:D),IF('Flow Indicator Parts List'!$D$2="US$",_xlfn.XLOOKUP(CurrencyModifier!A1702,Prices!A:A,Prices!E:E,"MISSING")))</f>
        <v>23.753</v>
      </c>
    </row>
    <row r="1703" spans="1:2">
      <c r="A1703" t="str">
        <f>Prices!A1709</f>
        <v>41486-00</v>
      </c>
      <c r="B1703" s="470">
        <f>IF('Flow Indicator Parts List'!$D$2="CDN$",_xlfn.XLOOKUP(A1703,Prices!A:A,Prices!D:D),IF('Flow Indicator Parts List'!$D$2="US$",_xlfn.XLOOKUP(CurrencyModifier!A1703,Prices!A:A,Prices!E:E,"MISSING")))</f>
        <v>25.753</v>
      </c>
    </row>
    <row r="1704" spans="1:2">
      <c r="A1704" t="str">
        <f>Prices!A1710</f>
        <v>41487-00</v>
      </c>
      <c r="B1704" s="470">
        <f>IF('Flow Indicator Parts List'!$D$2="CDN$",_xlfn.XLOOKUP(A1704,Prices!A:A,Prices!D:D),IF('Flow Indicator Parts List'!$D$2="US$",_xlfn.XLOOKUP(CurrencyModifier!A1704,Prices!A:A,Prices!E:E,"MISSING")))</f>
        <v>12.129</v>
      </c>
    </row>
    <row r="1705" spans="1:2">
      <c r="A1705" t="str">
        <f>Prices!A1711</f>
        <v>41488-00</v>
      </c>
      <c r="B1705" s="470">
        <f>IF('Flow Indicator Parts List'!$D$2="CDN$",_xlfn.XLOOKUP(A1705,Prices!A:A,Prices!D:D),IF('Flow Indicator Parts List'!$D$2="US$",_xlfn.XLOOKUP(CurrencyModifier!A1705,Prices!A:A,Prices!E:E,"MISSING")))</f>
        <v>14.129</v>
      </c>
    </row>
    <row r="1706" spans="1:2">
      <c r="A1706" t="str">
        <f>Prices!A1712</f>
        <v>41502-00</v>
      </c>
      <c r="B1706" s="470">
        <f>IF('Flow Indicator Parts List'!$D$2="CDN$",_xlfn.XLOOKUP(A1706,Prices!A:A,Prices!D:D),IF('Flow Indicator Parts List'!$D$2="US$",_xlfn.XLOOKUP(CurrencyModifier!A1706,Prices!A:A,Prices!E:E,"MISSING")))</f>
        <v>23.658999999999999</v>
      </c>
    </row>
    <row r="1707" spans="1:2">
      <c r="A1707" t="str">
        <f>Prices!A1713</f>
        <v>41502-01</v>
      </c>
      <c r="B1707" s="470">
        <f>IF('Flow Indicator Parts List'!$D$2="CDN$",_xlfn.XLOOKUP(A1707,Prices!A:A,Prices!D:D),IF('Flow Indicator Parts List'!$D$2="US$",_xlfn.XLOOKUP(CurrencyModifier!A1707,Prices!A:A,Prices!E:E,"MISSING")))</f>
        <v>5.0229999999999997</v>
      </c>
    </row>
    <row r="1708" spans="1:2">
      <c r="A1708" t="str">
        <f>Prices!A1714</f>
        <v>41502-02</v>
      </c>
      <c r="B1708" s="470">
        <f>IF('Flow Indicator Parts List'!$D$2="CDN$",_xlfn.XLOOKUP(A1708,Prices!A:A,Prices!D:D),IF('Flow Indicator Parts List'!$D$2="US$",_xlfn.XLOOKUP(CurrencyModifier!A1708,Prices!A:A,Prices!E:E,"MISSING")))</f>
        <v>1.4330000000000001</v>
      </c>
    </row>
    <row r="1709" spans="1:2">
      <c r="A1709" t="str">
        <f>Prices!A1715</f>
        <v>41502-03</v>
      </c>
      <c r="B1709" s="470">
        <f>IF('Flow Indicator Parts List'!$D$2="CDN$",_xlfn.XLOOKUP(A1709,Prices!A:A,Prices!D:D),IF('Flow Indicator Parts List'!$D$2="US$",_xlfn.XLOOKUP(CurrencyModifier!A1709,Prices!A:A,Prices!E:E,"MISSING")))</f>
        <v>1.2669999999999999</v>
      </c>
    </row>
    <row r="1710" spans="1:2">
      <c r="A1710" t="str">
        <f>Prices!A1716</f>
        <v>41502-04</v>
      </c>
      <c r="B1710" s="470">
        <f>IF('Flow Indicator Parts List'!$D$2="CDN$",_xlfn.XLOOKUP(A1710,Prices!A:A,Prices!D:D),IF('Flow Indicator Parts List'!$D$2="US$",_xlfn.XLOOKUP(CurrencyModifier!A1710,Prices!A:A,Prices!E:E,"MISSING")))</f>
        <v>1.1819999999999999</v>
      </c>
    </row>
    <row r="1711" spans="1:2">
      <c r="A1711" t="str">
        <f>Prices!A1717</f>
        <v>41502-05</v>
      </c>
      <c r="B1711" s="470">
        <f>IF('Flow Indicator Parts List'!$D$2="CDN$",_xlfn.XLOOKUP(A1711,Prices!A:A,Prices!D:D),IF('Flow Indicator Parts List'!$D$2="US$",_xlfn.XLOOKUP(CurrencyModifier!A1711,Prices!A:A,Prices!E:E,"MISSING")))</f>
        <v>0.91700000000000004</v>
      </c>
    </row>
    <row r="1712" spans="1:2">
      <c r="A1712" t="str">
        <f>Prices!A1718</f>
        <v>41502-06</v>
      </c>
      <c r="B1712" s="470">
        <f>IF('Flow Indicator Parts List'!$D$2="CDN$",_xlfn.XLOOKUP(A1712,Prices!A:A,Prices!D:D),IF('Flow Indicator Parts List'!$D$2="US$",_xlfn.XLOOKUP(CurrencyModifier!A1712,Prices!A:A,Prices!E:E,"MISSING")))</f>
        <v>0.43099999999999999</v>
      </c>
    </row>
    <row r="1713" spans="1:2">
      <c r="A1713" t="str">
        <f>Prices!A1719</f>
        <v>41502-09</v>
      </c>
      <c r="B1713" s="470">
        <f>IF('Flow Indicator Parts List'!$D$2="CDN$",_xlfn.XLOOKUP(A1713,Prices!A:A,Prices!D:D),IF('Flow Indicator Parts List'!$D$2="US$",_xlfn.XLOOKUP(CurrencyModifier!A1713,Prices!A:A,Prices!E:E,"MISSING")))</f>
        <v>2.7559999999999998</v>
      </c>
    </row>
    <row r="1714" spans="1:2">
      <c r="A1714" t="str">
        <f>Prices!A1720</f>
        <v>41502-10</v>
      </c>
      <c r="B1714" s="470">
        <f>IF('Flow Indicator Parts List'!$D$2="CDN$",_xlfn.XLOOKUP(A1714,Prices!A:A,Prices!D:D),IF('Flow Indicator Parts List'!$D$2="US$",_xlfn.XLOOKUP(CurrencyModifier!A1714,Prices!A:A,Prices!E:E,"MISSING")))</f>
        <v>1.1819999999999999</v>
      </c>
    </row>
    <row r="1715" spans="1:2">
      <c r="A1715" t="str">
        <f>Prices!A1721</f>
        <v>41502-11</v>
      </c>
      <c r="B1715" s="470">
        <f>IF('Flow Indicator Parts List'!$D$2="CDN$",_xlfn.XLOOKUP(A1715,Prices!A:A,Prices!D:D),IF('Flow Indicator Parts List'!$D$2="US$",_xlfn.XLOOKUP(CurrencyModifier!A1715,Prices!A:A,Prices!E:E,"MISSING")))</f>
        <v>18.922000000000001</v>
      </c>
    </row>
    <row r="1716" spans="1:2">
      <c r="A1716" t="str">
        <f>Prices!A1722</f>
        <v>41502-12</v>
      </c>
      <c r="B1716" s="470">
        <f>IF('Flow Indicator Parts List'!$D$2="CDN$",_xlfn.XLOOKUP(A1716,Prices!A:A,Prices!D:D),IF('Flow Indicator Parts List'!$D$2="US$",_xlfn.XLOOKUP(CurrencyModifier!A1716,Prices!A:A,Prices!E:E,"MISSING")))</f>
        <v>56.920999999999999</v>
      </c>
    </row>
    <row r="1717" spans="1:2">
      <c r="A1717" t="str">
        <f>Prices!A1723</f>
        <v>41502-13</v>
      </c>
      <c r="B1717" s="470">
        <f>IF('Flow Indicator Parts List'!$D$2="CDN$",_xlfn.XLOOKUP(A1717,Prices!A:A,Prices!D:D),IF('Flow Indicator Parts List'!$D$2="US$",_xlfn.XLOOKUP(CurrencyModifier!A1717,Prices!A:A,Prices!E:E,"MISSING")))</f>
        <v>4.75</v>
      </c>
    </row>
    <row r="1718" spans="1:2">
      <c r="A1718" t="str">
        <f>Prices!A1724</f>
        <v>41502-V6</v>
      </c>
      <c r="B1718" s="470">
        <f>IF('Flow Indicator Parts List'!$D$2="CDN$",_xlfn.XLOOKUP(A1718,Prices!A:A,Prices!D:D),IF('Flow Indicator Parts List'!$D$2="US$",_xlfn.XLOOKUP(CurrencyModifier!A1718,Prices!A:A,Prices!E:E,"MISSING")))</f>
        <v>3.0779999999999998</v>
      </c>
    </row>
    <row r="1719" spans="1:2">
      <c r="A1719" t="str">
        <f>Prices!A1725</f>
        <v>41503-00</v>
      </c>
      <c r="B1719" s="470">
        <f>IF('Flow Indicator Parts List'!$D$2="CDN$",_xlfn.XLOOKUP(A1719,Prices!A:A,Prices!D:D),IF('Flow Indicator Parts List'!$D$2="US$",_xlfn.XLOOKUP(CurrencyModifier!A1719,Prices!A:A,Prices!E:E,"MISSING")))</f>
        <v>23.658999999999999</v>
      </c>
    </row>
    <row r="1720" spans="1:2">
      <c r="A1720" t="str">
        <f>Prices!A1726</f>
        <v>41504-00</v>
      </c>
      <c r="B1720" s="470">
        <f>IF('Flow Indicator Parts List'!$D$2="CDN$",_xlfn.XLOOKUP(A1720,Prices!A:A,Prices!D:D),IF('Flow Indicator Parts List'!$D$2="US$",_xlfn.XLOOKUP(CurrencyModifier!A1720,Prices!A:A,Prices!E:E,"MISSING")))</f>
        <v>23.658999999999999</v>
      </c>
    </row>
    <row r="1721" spans="1:2">
      <c r="A1721" t="str">
        <f>Prices!A1727</f>
        <v>41505-00</v>
      </c>
      <c r="B1721" s="470">
        <f>IF('Flow Indicator Parts List'!$D$2="CDN$",_xlfn.XLOOKUP(A1721,Prices!A:A,Prices!D:D),IF('Flow Indicator Parts List'!$D$2="US$",_xlfn.XLOOKUP(CurrencyModifier!A1721,Prices!A:A,Prices!E:E,"MISSING")))</f>
        <v>23.658999999999999</v>
      </c>
    </row>
    <row r="1722" spans="1:2">
      <c r="A1722" t="str">
        <f>Prices!A1728</f>
        <v>41505-23</v>
      </c>
      <c r="B1722" s="470">
        <f>IF('Flow Indicator Parts List'!$D$2="CDN$",_xlfn.XLOOKUP(A1722,Prices!A:A,Prices!D:D),IF('Flow Indicator Parts List'!$D$2="US$",_xlfn.XLOOKUP(CurrencyModifier!A1722,Prices!A:A,Prices!E:E,"MISSING")))</f>
        <v>23.658999999999999</v>
      </c>
    </row>
    <row r="1723" spans="1:2">
      <c r="A1723" t="str">
        <f>Prices!A1729</f>
        <v>41505-32</v>
      </c>
      <c r="B1723" s="470">
        <f>IF('Flow Indicator Parts List'!$D$2="CDN$",_xlfn.XLOOKUP(A1723,Prices!A:A,Prices!D:D),IF('Flow Indicator Parts List'!$D$2="US$",_xlfn.XLOOKUP(CurrencyModifier!A1723,Prices!A:A,Prices!E:E,"MISSING")))</f>
        <v>23.658999999999999</v>
      </c>
    </row>
    <row r="1724" spans="1:2">
      <c r="A1724" t="str">
        <f>Prices!A1730</f>
        <v>41506-00</v>
      </c>
      <c r="B1724" s="470">
        <f>IF('Flow Indicator Parts List'!$D$2="CDN$",_xlfn.XLOOKUP(A1724,Prices!A:A,Prices!D:D),IF('Flow Indicator Parts List'!$D$2="US$",_xlfn.XLOOKUP(CurrencyModifier!A1724,Prices!A:A,Prices!E:E,"MISSING")))</f>
        <v>27.225999999999999</v>
      </c>
    </row>
    <row r="1725" spans="1:2">
      <c r="A1725" t="str">
        <f>Prices!A1731</f>
        <v>41512-00</v>
      </c>
      <c r="B1725" s="470">
        <f>IF('Flow Indicator Parts List'!$D$2="CDN$",_xlfn.XLOOKUP(A1725,Prices!A:A,Prices!D:D),IF('Flow Indicator Parts List'!$D$2="US$",_xlfn.XLOOKUP(CurrencyModifier!A1725,Prices!A:A,Prices!E:E,"MISSING")))</f>
        <v>25.341000000000001</v>
      </c>
    </row>
    <row r="1726" spans="1:2">
      <c r="A1726" t="str">
        <f>Prices!A1732</f>
        <v>41513-00</v>
      </c>
      <c r="B1726" s="470">
        <f>IF('Flow Indicator Parts List'!$D$2="CDN$",_xlfn.XLOOKUP(A1726,Prices!A:A,Prices!D:D),IF('Flow Indicator Parts List'!$D$2="US$",_xlfn.XLOOKUP(CurrencyModifier!A1726,Prices!A:A,Prices!E:E,"MISSING")))</f>
        <v>25.341000000000001</v>
      </c>
    </row>
    <row r="1727" spans="1:2">
      <c r="A1727" t="str">
        <f>Prices!A1733</f>
        <v>41514-00</v>
      </c>
      <c r="B1727" s="470">
        <f>IF('Flow Indicator Parts List'!$D$2="CDN$",_xlfn.XLOOKUP(A1727,Prices!A:A,Prices!D:D),IF('Flow Indicator Parts List'!$D$2="US$",_xlfn.XLOOKUP(CurrencyModifier!A1727,Prices!A:A,Prices!E:E,"MISSING")))</f>
        <v>25.341000000000001</v>
      </c>
    </row>
    <row r="1728" spans="1:2">
      <c r="A1728" t="str">
        <f>Prices!A1734</f>
        <v>41515-00</v>
      </c>
      <c r="B1728" s="470">
        <f>IF('Flow Indicator Parts List'!$D$2="CDN$",_xlfn.XLOOKUP(A1728,Prices!A:A,Prices!D:D),IF('Flow Indicator Parts List'!$D$2="US$",_xlfn.XLOOKUP(CurrencyModifier!A1728,Prices!A:A,Prices!E:E,"MISSING")))</f>
        <v>25.341000000000001</v>
      </c>
    </row>
    <row r="1729" spans="1:2">
      <c r="A1729" t="str">
        <f>Prices!A1735</f>
        <v>41515-23</v>
      </c>
      <c r="B1729" s="470">
        <f>IF('Flow Indicator Parts List'!$D$2="CDN$",_xlfn.XLOOKUP(A1729,Prices!A:A,Prices!D:D),IF('Flow Indicator Parts List'!$D$2="US$",_xlfn.XLOOKUP(CurrencyModifier!A1729,Prices!A:A,Prices!E:E,"MISSING")))</f>
        <v>25.341000000000001</v>
      </c>
    </row>
    <row r="1730" spans="1:2">
      <c r="A1730" t="str">
        <f>Prices!A1736</f>
        <v>41515-32</v>
      </c>
      <c r="B1730" s="470">
        <f>IF('Flow Indicator Parts List'!$D$2="CDN$",_xlfn.XLOOKUP(A1730,Prices!A:A,Prices!D:D),IF('Flow Indicator Parts List'!$D$2="US$",_xlfn.XLOOKUP(CurrencyModifier!A1730,Prices!A:A,Prices!E:E,"MISSING")))</f>
        <v>25.341000000000001</v>
      </c>
    </row>
    <row r="1731" spans="1:2">
      <c r="A1731" t="str">
        <f>Prices!A1737</f>
        <v>41516-00</v>
      </c>
      <c r="B1731" s="470">
        <f>IF('Flow Indicator Parts List'!$D$2="CDN$",_xlfn.XLOOKUP(A1731,Prices!A:A,Prices!D:D),IF('Flow Indicator Parts List'!$D$2="US$",_xlfn.XLOOKUP(CurrencyModifier!A1731,Prices!A:A,Prices!E:E,"MISSING")))</f>
        <v>28.911000000000001</v>
      </c>
    </row>
    <row r="1732" spans="1:2">
      <c r="A1732" t="str">
        <f>Prices!A1738</f>
        <v>41522-00</v>
      </c>
      <c r="B1732" s="470">
        <f>IF('Flow Indicator Parts List'!$D$2="CDN$",_xlfn.XLOOKUP(A1732,Prices!A:A,Prices!D:D),IF('Flow Indicator Parts List'!$D$2="US$",_xlfn.XLOOKUP(CurrencyModifier!A1732,Prices!A:A,Prices!E:E,"MISSING")))</f>
        <v>44.665999999999997</v>
      </c>
    </row>
    <row r="1733" spans="1:2">
      <c r="A1733" t="str">
        <f>Prices!A1739</f>
        <v>41526-00</v>
      </c>
      <c r="B1733" s="470">
        <f>IF('Flow Indicator Parts List'!$D$2="CDN$",_xlfn.XLOOKUP(A1733,Prices!A:A,Prices!D:D),IF('Flow Indicator Parts List'!$D$2="US$",_xlfn.XLOOKUP(CurrencyModifier!A1733,Prices!A:A,Prices!E:E,"MISSING")))</f>
        <v>48.234000000000002</v>
      </c>
    </row>
    <row r="1734" spans="1:2">
      <c r="A1734" t="str">
        <f>Prices!A1740</f>
        <v>41532-00</v>
      </c>
      <c r="B1734" s="470">
        <f>IF('Flow Indicator Parts List'!$D$2="CDN$",_xlfn.XLOOKUP(A1734,Prices!A:A,Prices!D:D),IF('Flow Indicator Parts List'!$D$2="US$",_xlfn.XLOOKUP(CurrencyModifier!A1734,Prices!A:A,Prices!E:E,"MISSING")))</f>
        <v>17.646000000000001</v>
      </c>
    </row>
    <row r="1735" spans="1:2">
      <c r="A1735" t="str">
        <f>Prices!A1741</f>
        <v>41533-00</v>
      </c>
      <c r="B1735" s="470">
        <f>IF('Flow Indicator Parts List'!$D$2="CDN$",_xlfn.XLOOKUP(A1735,Prices!A:A,Prices!D:D),IF('Flow Indicator Parts List'!$D$2="US$",_xlfn.XLOOKUP(CurrencyModifier!A1735,Prices!A:A,Prices!E:E,"MISSING")))</f>
        <v>17.646000000000001</v>
      </c>
    </row>
    <row r="1736" spans="1:2">
      <c r="A1736" t="str">
        <f>Prices!A1742</f>
        <v>41534-00</v>
      </c>
      <c r="B1736" s="470">
        <f>IF('Flow Indicator Parts List'!$D$2="CDN$",_xlfn.XLOOKUP(A1736,Prices!A:A,Prices!D:D),IF('Flow Indicator Parts List'!$D$2="US$",_xlfn.XLOOKUP(CurrencyModifier!A1736,Prices!A:A,Prices!E:E,"MISSING")))</f>
        <v>17.646000000000001</v>
      </c>
    </row>
    <row r="1737" spans="1:2">
      <c r="A1737" t="str">
        <f>Prices!A1743</f>
        <v>41535-00</v>
      </c>
      <c r="B1737" s="470">
        <f>IF('Flow Indicator Parts List'!$D$2="CDN$",_xlfn.XLOOKUP(A1737,Prices!A:A,Prices!D:D),IF('Flow Indicator Parts List'!$D$2="US$",_xlfn.XLOOKUP(CurrencyModifier!A1737,Prices!A:A,Prices!E:E,"MISSING")))</f>
        <v>17.646000000000001</v>
      </c>
    </row>
    <row r="1738" spans="1:2">
      <c r="A1738" t="str">
        <f>Prices!A1744</f>
        <v>41535-23</v>
      </c>
      <c r="B1738" s="470">
        <f>IF('Flow Indicator Parts List'!$D$2="CDN$",_xlfn.XLOOKUP(A1738,Prices!A:A,Prices!D:D),IF('Flow Indicator Parts List'!$D$2="US$",_xlfn.XLOOKUP(CurrencyModifier!A1738,Prices!A:A,Prices!E:E,"MISSING")))</f>
        <v>17.646000000000001</v>
      </c>
    </row>
    <row r="1739" spans="1:2">
      <c r="A1739" t="str">
        <f>Prices!A1745</f>
        <v>41535-32</v>
      </c>
      <c r="B1739" s="470">
        <f>IF('Flow Indicator Parts List'!$D$2="CDN$",_xlfn.XLOOKUP(A1739,Prices!A:A,Prices!D:D),IF('Flow Indicator Parts List'!$D$2="US$",_xlfn.XLOOKUP(CurrencyModifier!A1739,Prices!A:A,Prices!E:E,"MISSING")))</f>
        <v>17.646000000000001</v>
      </c>
    </row>
    <row r="1740" spans="1:2">
      <c r="A1740" t="str">
        <f>Prices!A1746</f>
        <v>41536-00</v>
      </c>
      <c r="B1740" s="470">
        <f>IF('Flow Indicator Parts List'!$D$2="CDN$",_xlfn.XLOOKUP(A1740,Prices!A:A,Prices!D:D),IF('Flow Indicator Parts List'!$D$2="US$",_xlfn.XLOOKUP(CurrencyModifier!A1740,Prices!A:A,Prices!E:E,"MISSING")))</f>
        <v>21.213000000000001</v>
      </c>
    </row>
    <row r="1741" spans="1:2">
      <c r="A1741" t="str">
        <f>Prices!A1747</f>
        <v>41542-00</v>
      </c>
      <c r="B1741" s="470">
        <f>IF('Flow Indicator Parts List'!$D$2="CDN$",_xlfn.XLOOKUP(A1741,Prices!A:A,Prices!D:D),IF('Flow Indicator Parts List'!$D$2="US$",_xlfn.XLOOKUP(CurrencyModifier!A1741,Prices!A:A,Prices!E:E,"MISSING")))</f>
        <v>29.016999999999999</v>
      </c>
    </row>
    <row r="1742" spans="1:2">
      <c r="A1742" t="str">
        <f>Prices!A1748</f>
        <v>41543-00</v>
      </c>
      <c r="B1742" s="470">
        <f>IF('Flow Indicator Parts List'!$D$2="CDN$",_xlfn.XLOOKUP(A1742,Prices!A:A,Prices!D:D),IF('Flow Indicator Parts List'!$D$2="US$",_xlfn.XLOOKUP(CurrencyModifier!A1742,Prices!A:A,Prices!E:E,"MISSING")))</f>
        <v>29.016999999999999</v>
      </c>
    </row>
    <row r="1743" spans="1:2">
      <c r="A1743" t="str">
        <f>Prices!A1749</f>
        <v>41544-00</v>
      </c>
      <c r="B1743" s="470">
        <f>IF('Flow Indicator Parts List'!$D$2="CDN$",_xlfn.XLOOKUP(A1743,Prices!A:A,Prices!D:D),IF('Flow Indicator Parts List'!$D$2="US$",_xlfn.XLOOKUP(CurrencyModifier!A1743,Prices!A:A,Prices!E:E,"MISSING")))</f>
        <v>29.016999999999999</v>
      </c>
    </row>
    <row r="1744" spans="1:2">
      <c r="A1744" t="str">
        <f>Prices!A1750</f>
        <v>41545-00</v>
      </c>
      <c r="B1744" s="470">
        <f>IF('Flow Indicator Parts List'!$D$2="CDN$",_xlfn.XLOOKUP(A1744,Prices!A:A,Prices!D:D),IF('Flow Indicator Parts List'!$D$2="US$",_xlfn.XLOOKUP(CurrencyModifier!A1744,Prices!A:A,Prices!E:E,"MISSING")))</f>
        <v>29.016999999999999</v>
      </c>
    </row>
    <row r="1745" spans="1:2">
      <c r="A1745" t="str">
        <f>Prices!A1751</f>
        <v>41545-23</v>
      </c>
      <c r="B1745" s="470">
        <f>IF('Flow Indicator Parts List'!$D$2="CDN$",_xlfn.XLOOKUP(A1745,Prices!A:A,Prices!D:D),IF('Flow Indicator Parts List'!$D$2="US$",_xlfn.XLOOKUP(CurrencyModifier!A1745,Prices!A:A,Prices!E:E,"MISSING")))</f>
        <v>29.016999999999999</v>
      </c>
    </row>
    <row r="1746" spans="1:2">
      <c r="A1746" t="str">
        <f>Prices!A1752</f>
        <v>41545-32</v>
      </c>
      <c r="B1746" s="470">
        <f>IF('Flow Indicator Parts List'!$D$2="CDN$",_xlfn.XLOOKUP(A1746,Prices!A:A,Prices!D:D),IF('Flow Indicator Parts List'!$D$2="US$",_xlfn.XLOOKUP(CurrencyModifier!A1746,Prices!A:A,Prices!E:E,"MISSING")))</f>
        <v>29.016999999999999</v>
      </c>
    </row>
    <row r="1747" spans="1:2">
      <c r="A1747" t="str">
        <f>Prices!A1753</f>
        <v>41546-00</v>
      </c>
      <c r="B1747" s="470">
        <f>IF('Flow Indicator Parts List'!$D$2="CDN$",_xlfn.XLOOKUP(A1747,Prices!A:A,Prices!D:D),IF('Flow Indicator Parts List'!$D$2="US$",_xlfn.XLOOKUP(CurrencyModifier!A1747,Prices!A:A,Prices!E:E,"MISSING")))</f>
        <v>32.585999999999999</v>
      </c>
    </row>
    <row r="1748" spans="1:2">
      <c r="A1748" t="str">
        <f>Prices!A1754</f>
        <v>41580-00</v>
      </c>
      <c r="B1748" s="470">
        <f>IF('Flow Indicator Parts List'!$D$2="CDN$",_xlfn.XLOOKUP(A1748,Prices!A:A,Prices!D:D),IF('Flow Indicator Parts List'!$D$2="US$",_xlfn.XLOOKUP(CurrencyModifier!A1748,Prices!A:A,Prices!E:E,"MISSING")))</f>
        <v>2.5790000000000002</v>
      </c>
    </row>
    <row r="1749" spans="1:2">
      <c r="A1749" t="str">
        <f>Prices!A1755</f>
        <v>41590-00</v>
      </c>
      <c r="B1749" s="470">
        <f>IF('Flow Indicator Parts List'!$D$2="CDN$",_xlfn.XLOOKUP(A1749,Prices!A:A,Prices!D:D),IF('Flow Indicator Parts List'!$D$2="US$",_xlfn.XLOOKUP(CurrencyModifier!A1749,Prices!A:A,Prices!E:E,"MISSING")))</f>
        <v>2.8639999999999999</v>
      </c>
    </row>
    <row r="1750" spans="1:2">
      <c r="A1750" t="str">
        <f>Prices!A1756</f>
        <v>41591-00</v>
      </c>
      <c r="B1750" s="470">
        <f>IF('Flow Indicator Parts List'!$D$2="CDN$",_xlfn.XLOOKUP(A1750,Prices!A:A,Prices!D:D),IF('Flow Indicator Parts List'!$D$2="US$",_xlfn.XLOOKUP(CurrencyModifier!A1750,Prices!A:A,Prices!E:E,"MISSING")))</f>
        <v>2.8639999999999999</v>
      </c>
    </row>
    <row r="1751" spans="1:2">
      <c r="A1751" t="str">
        <f>Prices!A1757</f>
        <v>41592-00</v>
      </c>
      <c r="B1751" s="470">
        <f>IF('Flow Indicator Parts List'!$D$2="CDN$",_xlfn.XLOOKUP(A1751,Prices!A:A,Prices!D:D),IF('Flow Indicator Parts List'!$D$2="US$",_xlfn.XLOOKUP(CurrencyModifier!A1751,Prices!A:A,Prices!E:E,"MISSING")))</f>
        <v>9.2249999999999996</v>
      </c>
    </row>
    <row r="1752" spans="1:2">
      <c r="A1752" t="str">
        <f>Prices!A1758</f>
        <v>41592-01</v>
      </c>
      <c r="B1752" s="470">
        <f>IF('Flow Indicator Parts List'!$D$2="CDN$",_xlfn.XLOOKUP(A1752,Prices!A:A,Prices!D:D),IF('Flow Indicator Parts List'!$D$2="US$",_xlfn.XLOOKUP(CurrencyModifier!A1752,Prices!A:A,Prices!E:E,"MISSING")))</f>
        <v>2.13</v>
      </c>
    </row>
    <row r="1753" spans="1:2">
      <c r="A1753" t="str">
        <f>Prices!A1759</f>
        <v>41593-00</v>
      </c>
      <c r="B1753" s="470">
        <f>IF('Flow Indicator Parts List'!$D$2="CDN$",_xlfn.XLOOKUP(A1753,Prices!A:A,Prices!D:D),IF('Flow Indicator Parts List'!$D$2="US$",_xlfn.XLOOKUP(CurrencyModifier!A1753,Prices!A:A,Prices!E:E,"MISSING")))</f>
        <v>9.2249999999999996</v>
      </c>
    </row>
    <row r="1754" spans="1:2">
      <c r="A1754" t="str">
        <f>Prices!A1760</f>
        <v>41593-01</v>
      </c>
      <c r="B1754" s="470">
        <f>IF('Flow Indicator Parts List'!$D$2="CDN$",_xlfn.XLOOKUP(A1754,Prices!A:A,Prices!D:D),IF('Flow Indicator Parts List'!$D$2="US$",_xlfn.XLOOKUP(CurrencyModifier!A1754,Prices!A:A,Prices!E:E,"MISSING")))</f>
        <v>2.13</v>
      </c>
    </row>
    <row r="1755" spans="1:2">
      <c r="A1755" t="str">
        <f>Prices!A1761</f>
        <v>41594-00</v>
      </c>
      <c r="B1755" s="470">
        <f>IF('Flow Indicator Parts List'!$D$2="CDN$",_xlfn.XLOOKUP(A1755,Prices!A:A,Prices!D:D),IF('Flow Indicator Parts List'!$D$2="US$",_xlfn.XLOOKUP(CurrencyModifier!A1755,Prices!A:A,Prices!E:E,"MISSING")))</f>
        <v>9.2249999999999996</v>
      </c>
    </row>
    <row r="1756" spans="1:2">
      <c r="A1756" t="str">
        <f>Prices!A1762</f>
        <v>41602-00</v>
      </c>
      <c r="B1756" s="470">
        <f>IF('Flow Indicator Parts List'!$D$2="CDN$",_xlfn.XLOOKUP(A1756,Prices!A:A,Prices!D:D),IF('Flow Indicator Parts List'!$D$2="US$",_xlfn.XLOOKUP(CurrencyModifier!A1756,Prices!A:A,Prices!E:E,"MISSING")))</f>
        <v>26.55</v>
      </c>
    </row>
    <row r="1757" spans="1:2">
      <c r="A1757" t="str">
        <f>Prices!A1763</f>
        <v>41602-01</v>
      </c>
      <c r="B1757" s="470">
        <f>IF('Flow Indicator Parts List'!$D$2="CDN$",_xlfn.XLOOKUP(A1757,Prices!A:A,Prices!D:D),IF('Flow Indicator Parts List'!$D$2="US$",_xlfn.XLOOKUP(CurrencyModifier!A1757,Prices!A:A,Prices!E:E,"MISSING")))</f>
        <v>13.18</v>
      </c>
    </row>
    <row r="1758" spans="1:2">
      <c r="A1758" t="str">
        <f>Prices!A1764</f>
        <v>41602-02</v>
      </c>
      <c r="B1758" s="470">
        <f>IF('Flow Indicator Parts List'!$D$2="CDN$",_xlfn.XLOOKUP(A1758,Prices!A:A,Prices!D:D),IF('Flow Indicator Parts List'!$D$2="US$",_xlfn.XLOOKUP(CurrencyModifier!A1758,Prices!A:A,Prices!E:E,"MISSING")))</f>
        <v>3.3279999999999998</v>
      </c>
    </row>
    <row r="1759" spans="1:2">
      <c r="A1759" t="str">
        <f>Prices!A1765</f>
        <v>41602-03</v>
      </c>
      <c r="B1759" s="470">
        <f>IF('Flow Indicator Parts List'!$D$2="CDN$",_xlfn.XLOOKUP(A1759,Prices!A:A,Prices!D:D),IF('Flow Indicator Parts List'!$D$2="US$",_xlfn.XLOOKUP(CurrencyModifier!A1759,Prices!A:A,Prices!E:E,"MISSING")))</f>
        <v>3.899</v>
      </c>
    </row>
    <row r="1760" spans="1:2">
      <c r="A1760" t="str">
        <f>Prices!A1766</f>
        <v>41602-04</v>
      </c>
      <c r="B1760" s="470">
        <f>IF('Flow Indicator Parts List'!$D$2="CDN$",_xlfn.XLOOKUP(A1760,Prices!A:A,Prices!D:D),IF('Flow Indicator Parts List'!$D$2="US$",_xlfn.XLOOKUP(CurrencyModifier!A1760,Prices!A:A,Prices!E:E,"MISSING")))</f>
        <v>1.5860000000000001</v>
      </c>
    </row>
    <row r="1761" spans="1:2">
      <c r="A1761" t="str">
        <f>Prices!A1767</f>
        <v>41602-05</v>
      </c>
      <c r="B1761" s="470">
        <f>IF('Flow Indicator Parts List'!$D$2="CDN$",_xlfn.XLOOKUP(A1761,Prices!A:A,Prices!D:D),IF('Flow Indicator Parts List'!$D$2="US$",_xlfn.XLOOKUP(CurrencyModifier!A1761,Prices!A:A,Prices!E:E,"MISSING")))</f>
        <v>0.20499999999999999</v>
      </c>
    </row>
    <row r="1762" spans="1:2">
      <c r="A1762" t="str">
        <f>Prices!A1768</f>
        <v>41602-06</v>
      </c>
      <c r="B1762" s="470">
        <f>IF('Flow Indicator Parts List'!$D$2="CDN$",_xlfn.XLOOKUP(A1762,Prices!A:A,Prices!D:D),IF('Flow Indicator Parts List'!$D$2="US$",_xlfn.XLOOKUP(CurrencyModifier!A1762,Prices!A:A,Prices!E:E,"MISSING")))</f>
        <v>4.6790000000000003</v>
      </c>
    </row>
    <row r="1763" spans="1:2">
      <c r="A1763" t="str">
        <f>Prices!A1769</f>
        <v>41602-07</v>
      </c>
      <c r="B1763" s="470">
        <f>IF('Flow Indicator Parts List'!$D$2="CDN$",_xlfn.XLOOKUP(A1763,Prices!A:A,Prices!D:D),IF('Flow Indicator Parts List'!$D$2="US$",_xlfn.XLOOKUP(CurrencyModifier!A1763,Prices!A:A,Prices!E:E,"MISSING")))</f>
        <v>4.9989999999999997</v>
      </c>
    </row>
    <row r="1764" spans="1:2">
      <c r="A1764" t="str">
        <f>Prices!A1770</f>
        <v>41602-08</v>
      </c>
      <c r="B1764" s="470">
        <f>IF('Flow Indicator Parts List'!$D$2="CDN$",_xlfn.XLOOKUP(A1764,Prices!A:A,Prices!D:D),IF('Flow Indicator Parts List'!$D$2="US$",_xlfn.XLOOKUP(CurrencyModifier!A1764,Prices!A:A,Prices!E:E,"MISSING")))</f>
        <v>4.6790000000000003</v>
      </c>
    </row>
    <row r="1765" spans="1:2">
      <c r="A1765" t="str">
        <f>Prices!A1771</f>
        <v>41602-09</v>
      </c>
      <c r="B1765" s="470">
        <f>IF('Flow Indicator Parts List'!$D$2="CDN$",_xlfn.XLOOKUP(A1765,Prices!A:A,Prices!D:D),IF('Flow Indicator Parts List'!$D$2="US$",_xlfn.XLOOKUP(CurrencyModifier!A1765,Prices!A:A,Prices!E:E,"MISSING")))</f>
        <v>4.9989999999999997</v>
      </c>
    </row>
    <row r="1766" spans="1:2">
      <c r="A1766" t="str">
        <f>Prices!A1772</f>
        <v>41603-00</v>
      </c>
      <c r="B1766" s="470">
        <f>IF('Flow Indicator Parts List'!$D$2="CDN$",_xlfn.XLOOKUP(A1766,Prices!A:A,Prices!D:D),IF('Flow Indicator Parts List'!$D$2="US$",_xlfn.XLOOKUP(CurrencyModifier!A1766,Prices!A:A,Prices!E:E,"MISSING")))</f>
        <v>26.55</v>
      </c>
    </row>
    <row r="1767" spans="1:2">
      <c r="A1767" t="str">
        <f>Prices!A1773</f>
        <v>41604-00</v>
      </c>
      <c r="B1767" s="470">
        <f>IF('Flow Indicator Parts List'!$D$2="CDN$",_xlfn.XLOOKUP(A1767,Prices!A:A,Prices!D:D),IF('Flow Indicator Parts List'!$D$2="US$",_xlfn.XLOOKUP(CurrencyModifier!A1767,Prices!A:A,Prices!E:E,"MISSING")))</f>
        <v>26.55</v>
      </c>
    </row>
    <row r="1768" spans="1:2">
      <c r="A1768" t="str">
        <f>Prices!A1774</f>
        <v>41605-00</v>
      </c>
      <c r="B1768" s="470">
        <f>IF('Flow Indicator Parts List'!$D$2="CDN$",_xlfn.XLOOKUP(A1768,Prices!A:A,Prices!D:D),IF('Flow Indicator Parts List'!$D$2="US$",_xlfn.XLOOKUP(CurrencyModifier!A1768,Prices!A:A,Prices!E:E,"MISSING")))</f>
        <v>26.55</v>
      </c>
    </row>
    <row r="1769" spans="1:2">
      <c r="A1769" t="str">
        <f>Prices!A1775</f>
        <v>41605-23</v>
      </c>
      <c r="B1769" s="470">
        <f>IF('Flow Indicator Parts List'!$D$2="CDN$",_xlfn.XLOOKUP(A1769,Prices!A:A,Prices!D:D),IF('Flow Indicator Parts List'!$D$2="US$",_xlfn.XLOOKUP(CurrencyModifier!A1769,Prices!A:A,Prices!E:E,"MISSING")))</f>
        <v>26.55</v>
      </c>
    </row>
    <row r="1770" spans="1:2">
      <c r="A1770" t="str">
        <f>Prices!A1776</f>
        <v>41605-32</v>
      </c>
      <c r="B1770" s="470">
        <f>IF('Flow Indicator Parts List'!$D$2="CDN$",_xlfn.XLOOKUP(A1770,Prices!A:A,Prices!D:D),IF('Flow Indicator Parts List'!$D$2="US$",_xlfn.XLOOKUP(CurrencyModifier!A1770,Prices!A:A,Prices!E:E,"MISSING")))</f>
        <v>26.55</v>
      </c>
    </row>
    <row r="1771" spans="1:2">
      <c r="A1771" t="str">
        <f>Prices!A1777</f>
        <v>41606-00</v>
      </c>
      <c r="B1771" s="470">
        <f>IF('Flow Indicator Parts List'!$D$2="CDN$",_xlfn.XLOOKUP(A1771,Prices!A:A,Prices!D:D),IF('Flow Indicator Parts List'!$D$2="US$",_xlfn.XLOOKUP(CurrencyModifier!A1771,Prices!A:A,Prices!E:E,"MISSING")))</f>
        <v>30.119</v>
      </c>
    </row>
    <row r="1772" spans="1:2">
      <c r="A1772" t="str">
        <f>Prices!A1778</f>
        <v>41612-00</v>
      </c>
      <c r="B1772" s="470">
        <f>IF('Flow Indicator Parts List'!$D$2="CDN$",_xlfn.XLOOKUP(A1772,Prices!A:A,Prices!D:D),IF('Flow Indicator Parts List'!$D$2="US$",_xlfn.XLOOKUP(CurrencyModifier!A1772,Prices!A:A,Prices!E:E,"MISSING")))</f>
        <v>28.234000000000002</v>
      </c>
    </row>
    <row r="1773" spans="1:2">
      <c r="A1773" t="str">
        <f>Prices!A1779</f>
        <v>41613-00</v>
      </c>
      <c r="B1773" s="470">
        <f>IF('Flow Indicator Parts List'!$D$2="CDN$",_xlfn.XLOOKUP(A1773,Prices!A:A,Prices!D:D),IF('Flow Indicator Parts List'!$D$2="US$",_xlfn.XLOOKUP(CurrencyModifier!A1773,Prices!A:A,Prices!E:E,"MISSING")))</f>
        <v>28.234000000000002</v>
      </c>
    </row>
    <row r="1774" spans="1:2">
      <c r="A1774" t="str">
        <f>Prices!A1780</f>
        <v>41614-00</v>
      </c>
      <c r="B1774" s="470">
        <f>IF('Flow Indicator Parts List'!$D$2="CDN$",_xlfn.XLOOKUP(A1774,Prices!A:A,Prices!D:D),IF('Flow Indicator Parts List'!$D$2="US$",_xlfn.XLOOKUP(CurrencyModifier!A1774,Prices!A:A,Prices!E:E,"MISSING")))</f>
        <v>28.234000000000002</v>
      </c>
    </row>
    <row r="1775" spans="1:2">
      <c r="A1775" t="str">
        <f>Prices!A1781</f>
        <v>41615-00</v>
      </c>
      <c r="B1775" s="470">
        <f>IF('Flow Indicator Parts List'!$D$2="CDN$",_xlfn.XLOOKUP(A1775,Prices!A:A,Prices!D:D),IF('Flow Indicator Parts List'!$D$2="US$",_xlfn.XLOOKUP(CurrencyModifier!A1775,Prices!A:A,Prices!E:E,"MISSING")))</f>
        <v>28.234000000000002</v>
      </c>
    </row>
    <row r="1776" spans="1:2">
      <c r="A1776" t="str">
        <f>Prices!A1782</f>
        <v>41615-23</v>
      </c>
      <c r="B1776" s="470">
        <f>IF('Flow Indicator Parts List'!$D$2="CDN$",_xlfn.XLOOKUP(A1776,Prices!A:A,Prices!D:D),IF('Flow Indicator Parts List'!$D$2="US$",_xlfn.XLOOKUP(CurrencyModifier!A1776,Prices!A:A,Prices!E:E,"MISSING")))</f>
        <v>28.234000000000002</v>
      </c>
    </row>
    <row r="1777" spans="1:2">
      <c r="A1777" t="str">
        <f>Prices!A1783</f>
        <v>41615-32</v>
      </c>
      <c r="B1777" s="470">
        <f>IF('Flow Indicator Parts List'!$D$2="CDN$",_xlfn.XLOOKUP(A1777,Prices!A:A,Prices!D:D),IF('Flow Indicator Parts List'!$D$2="US$",_xlfn.XLOOKUP(CurrencyModifier!A1777,Prices!A:A,Prices!E:E,"MISSING")))</f>
        <v>28.234000000000002</v>
      </c>
    </row>
    <row r="1778" spans="1:2">
      <c r="A1778" t="str">
        <f>Prices!A1784</f>
        <v>41616-00</v>
      </c>
      <c r="B1778" s="470">
        <f>IF('Flow Indicator Parts List'!$D$2="CDN$",_xlfn.XLOOKUP(A1778,Prices!A:A,Prices!D:D),IF('Flow Indicator Parts List'!$D$2="US$",_xlfn.XLOOKUP(CurrencyModifier!A1778,Prices!A:A,Prices!E:E,"MISSING")))</f>
        <v>31.803000000000001</v>
      </c>
    </row>
    <row r="1779" spans="1:2">
      <c r="A1779" t="str">
        <f>Prices!A1785</f>
        <v>41632-00</v>
      </c>
      <c r="B1779" s="470">
        <f>IF('Flow Indicator Parts List'!$D$2="CDN$",_xlfn.XLOOKUP(A1779,Prices!A:A,Prices!D:D),IF('Flow Indicator Parts List'!$D$2="US$",_xlfn.XLOOKUP(CurrencyModifier!A1779,Prices!A:A,Prices!E:E,"MISSING")))</f>
        <v>20.538</v>
      </c>
    </row>
    <row r="1780" spans="1:2">
      <c r="A1780" t="str">
        <f>Prices!A1786</f>
        <v>41633-00</v>
      </c>
      <c r="B1780" s="470">
        <f>IF('Flow Indicator Parts List'!$D$2="CDN$",_xlfn.XLOOKUP(A1780,Prices!A:A,Prices!D:D),IF('Flow Indicator Parts List'!$D$2="US$",_xlfn.XLOOKUP(CurrencyModifier!A1780,Prices!A:A,Prices!E:E,"MISSING")))</f>
        <v>20.538</v>
      </c>
    </row>
    <row r="1781" spans="1:2">
      <c r="A1781" t="str">
        <f>Prices!A1787</f>
        <v>41634-00</v>
      </c>
      <c r="B1781" s="470">
        <f>IF('Flow Indicator Parts List'!$D$2="CDN$",_xlfn.XLOOKUP(A1781,Prices!A:A,Prices!D:D),IF('Flow Indicator Parts List'!$D$2="US$",_xlfn.XLOOKUP(CurrencyModifier!A1781,Prices!A:A,Prices!E:E,"MISSING")))</f>
        <v>20.538</v>
      </c>
    </row>
    <row r="1782" spans="1:2">
      <c r="A1782" t="str">
        <f>Prices!A1788</f>
        <v>41635-00</v>
      </c>
      <c r="B1782" s="470">
        <f>IF('Flow Indicator Parts List'!$D$2="CDN$",_xlfn.XLOOKUP(A1782,Prices!A:A,Prices!D:D),IF('Flow Indicator Parts List'!$D$2="US$",_xlfn.XLOOKUP(CurrencyModifier!A1782,Prices!A:A,Prices!E:E,"MISSING")))</f>
        <v>20.538</v>
      </c>
    </row>
    <row r="1783" spans="1:2">
      <c r="A1783" t="str">
        <f>Prices!A1789</f>
        <v>41635-23</v>
      </c>
      <c r="B1783" s="470">
        <f>IF('Flow Indicator Parts List'!$D$2="CDN$",_xlfn.XLOOKUP(A1783,Prices!A:A,Prices!D:D),IF('Flow Indicator Parts List'!$D$2="US$",_xlfn.XLOOKUP(CurrencyModifier!A1783,Prices!A:A,Prices!E:E,"MISSING")))</f>
        <v>20.538</v>
      </c>
    </row>
    <row r="1784" spans="1:2">
      <c r="A1784" t="str">
        <f>Prices!A1790</f>
        <v>41635-32</v>
      </c>
      <c r="B1784" s="470">
        <f>IF('Flow Indicator Parts List'!$D$2="CDN$",_xlfn.XLOOKUP(A1784,Prices!A:A,Prices!D:D),IF('Flow Indicator Parts List'!$D$2="US$",_xlfn.XLOOKUP(CurrencyModifier!A1784,Prices!A:A,Prices!E:E,"MISSING")))</f>
        <v>20.538</v>
      </c>
    </row>
    <row r="1785" spans="1:2">
      <c r="A1785" t="str">
        <f>Prices!A1791</f>
        <v>41636-00</v>
      </c>
      <c r="B1785" s="470">
        <f>IF('Flow Indicator Parts List'!$D$2="CDN$",_xlfn.XLOOKUP(A1785,Prices!A:A,Prices!D:D),IF('Flow Indicator Parts List'!$D$2="US$",_xlfn.XLOOKUP(CurrencyModifier!A1785,Prices!A:A,Prices!E:E,"MISSING")))</f>
        <v>24.106000000000002</v>
      </c>
    </row>
    <row r="1786" spans="1:2">
      <c r="A1786" t="str">
        <f>Prices!A1792</f>
        <v>41642-00</v>
      </c>
      <c r="B1786" s="470">
        <f>IF('Flow Indicator Parts List'!$D$2="CDN$",_xlfn.XLOOKUP(A1786,Prices!A:A,Prices!D:D),IF('Flow Indicator Parts List'!$D$2="US$",_xlfn.XLOOKUP(CurrencyModifier!A1786,Prices!A:A,Prices!E:E,"MISSING")))</f>
        <v>31.91</v>
      </c>
    </row>
    <row r="1787" spans="1:2">
      <c r="A1787" t="str">
        <f>Prices!A1793</f>
        <v>41643-00</v>
      </c>
      <c r="B1787" s="470">
        <f>IF('Flow Indicator Parts List'!$D$2="CDN$",_xlfn.XLOOKUP(A1787,Prices!A:A,Prices!D:D),IF('Flow Indicator Parts List'!$D$2="US$",_xlfn.XLOOKUP(CurrencyModifier!A1787,Prices!A:A,Prices!E:E,"MISSING")))</f>
        <v>31.91</v>
      </c>
    </row>
    <row r="1788" spans="1:2">
      <c r="A1788" t="str">
        <f>Prices!A1794</f>
        <v>41644-00</v>
      </c>
      <c r="B1788" s="470">
        <f>IF('Flow Indicator Parts List'!$D$2="CDN$",_xlfn.XLOOKUP(A1788,Prices!A:A,Prices!D:D),IF('Flow Indicator Parts List'!$D$2="US$",_xlfn.XLOOKUP(CurrencyModifier!A1788,Prices!A:A,Prices!E:E,"MISSING")))</f>
        <v>31.91</v>
      </c>
    </row>
    <row r="1789" spans="1:2">
      <c r="A1789" t="str">
        <f>Prices!A1795</f>
        <v>41645-00</v>
      </c>
      <c r="B1789" s="470">
        <f>IF('Flow Indicator Parts List'!$D$2="CDN$",_xlfn.XLOOKUP(A1789,Prices!A:A,Prices!D:D),IF('Flow Indicator Parts List'!$D$2="US$",_xlfn.XLOOKUP(CurrencyModifier!A1789,Prices!A:A,Prices!E:E,"MISSING")))</f>
        <v>31.91</v>
      </c>
    </row>
    <row r="1790" spans="1:2">
      <c r="A1790" t="str">
        <f>Prices!A1796</f>
        <v>41646-00</v>
      </c>
      <c r="B1790" s="470">
        <f>IF('Flow Indicator Parts List'!$D$2="CDN$",_xlfn.XLOOKUP(A1790,Prices!A:A,Prices!D:D),IF('Flow Indicator Parts List'!$D$2="US$",_xlfn.XLOOKUP(CurrencyModifier!A1790,Prices!A:A,Prices!E:E,"MISSING")))</f>
        <v>35.478000000000002</v>
      </c>
    </row>
    <row r="1791" spans="1:2">
      <c r="A1791" t="str">
        <f>Prices!A1797</f>
        <v>41700-02</v>
      </c>
      <c r="B1791" s="470">
        <f>IF('Flow Indicator Parts List'!$D$2="CDN$",_xlfn.XLOOKUP(A1791,Prices!A:A,Prices!D:D),IF('Flow Indicator Parts List'!$D$2="US$",_xlfn.XLOOKUP(CurrencyModifier!A1791,Prices!A:A,Prices!E:E,"MISSING")))</f>
        <v>127.355</v>
      </c>
    </row>
    <row r="1792" spans="1:2">
      <c r="A1792" t="str">
        <f>Prices!A1798</f>
        <v>41700-03</v>
      </c>
      <c r="B1792" s="470">
        <f>IF('Flow Indicator Parts List'!$D$2="CDN$",_xlfn.XLOOKUP(A1792,Prices!A:A,Prices!D:D),IF('Flow Indicator Parts List'!$D$2="US$",_xlfn.XLOOKUP(CurrencyModifier!A1792,Prices!A:A,Prices!E:E,"MISSING")))</f>
        <v>151.41900000000001</v>
      </c>
    </row>
    <row r="1793" spans="1:2">
      <c r="A1793" t="str">
        <f>Prices!A1799</f>
        <v>41700-04</v>
      </c>
      <c r="B1793" s="470">
        <f>IF('Flow Indicator Parts List'!$D$2="CDN$",_xlfn.XLOOKUP(A1793,Prices!A:A,Prices!D:D),IF('Flow Indicator Parts List'!$D$2="US$",_xlfn.XLOOKUP(CurrencyModifier!A1793,Prices!A:A,Prices!E:E,"MISSING")))</f>
        <v>175.48400000000001</v>
      </c>
    </row>
    <row r="1794" spans="1:2">
      <c r="A1794" t="str">
        <f>Prices!A1800</f>
        <v>41700-05</v>
      </c>
      <c r="B1794" s="470">
        <f>IF('Flow Indicator Parts List'!$D$2="CDN$",_xlfn.XLOOKUP(A1794,Prices!A:A,Prices!D:D),IF('Flow Indicator Parts List'!$D$2="US$",_xlfn.XLOOKUP(CurrencyModifier!A1794,Prices!A:A,Prices!E:E,"MISSING")))</f>
        <v>199.548</v>
      </c>
    </row>
    <row r="1795" spans="1:2">
      <c r="A1795" t="str">
        <f>Prices!A1801</f>
        <v>41700-06</v>
      </c>
      <c r="B1795" s="470">
        <f>IF('Flow Indicator Parts List'!$D$2="CDN$",_xlfn.XLOOKUP(A1795,Prices!A:A,Prices!D:D),IF('Flow Indicator Parts List'!$D$2="US$",_xlfn.XLOOKUP(CurrencyModifier!A1795,Prices!A:A,Prices!E:E,"MISSING")))</f>
        <v>223.613</v>
      </c>
    </row>
    <row r="1796" spans="1:2">
      <c r="A1796" t="str">
        <f>Prices!A1802</f>
        <v>41700-07</v>
      </c>
      <c r="B1796" s="470">
        <f>IF('Flow Indicator Parts List'!$D$2="CDN$",_xlfn.XLOOKUP(A1796,Prices!A:A,Prices!D:D),IF('Flow Indicator Parts List'!$D$2="US$",_xlfn.XLOOKUP(CurrencyModifier!A1796,Prices!A:A,Prices!E:E,"MISSING")))</f>
        <v>247.678</v>
      </c>
    </row>
    <row r="1797" spans="1:2">
      <c r="A1797" t="str">
        <f>Prices!A1803</f>
        <v>41700-08</v>
      </c>
      <c r="B1797" s="470">
        <f>IF('Flow Indicator Parts List'!$D$2="CDN$",_xlfn.XLOOKUP(A1797,Prices!A:A,Prices!D:D),IF('Flow Indicator Parts List'!$D$2="US$",_xlfn.XLOOKUP(CurrencyModifier!A1797,Prices!A:A,Prices!E:E,"MISSING")))</f>
        <v>271.74099999999999</v>
      </c>
    </row>
    <row r="1798" spans="1:2">
      <c r="A1798" t="str">
        <f>Prices!A1804</f>
        <v>41700-09</v>
      </c>
      <c r="B1798" s="470">
        <f>IF('Flow Indicator Parts List'!$D$2="CDN$",_xlfn.XLOOKUP(A1798,Prices!A:A,Prices!D:D),IF('Flow Indicator Parts List'!$D$2="US$",_xlfn.XLOOKUP(CurrencyModifier!A1798,Prices!A:A,Prices!E:E,"MISSING")))</f>
        <v>295.80599999999998</v>
      </c>
    </row>
    <row r="1799" spans="1:2">
      <c r="A1799" t="str">
        <f>Prices!A1805</f>
        <v>41700-10</v>
      </c>
      <c r="B1799" s="470">
        <f>IF('Flow Indicator Parts List'!$D$2="CDN$",_xlfn.XLOOKUP(A1799,Prices!A:A,Prices!D:D),IF('Flow Indicator Parts List'!$D$2="US$",_xlfn.XLOOKUP(CurrencyModifier!A1799,Prices!A:A,Prices!E:E,"MISSING")))</f>
        <v>319.87</v>
      </c>
    </row>
    <row r="1800" spans="1:2">
      <c r="A1800" t="str">
        <f>Prices!A1806</f>
        <v>41700-11</v>
      </c>
      <c r="B1800" s="470">
        <f>IF('Flow Indicator Parts List'!$D$2="CDN$",_xlfn.XLOOKUP(A1800,Prices!A:A,Prices!D:D),IF('Flow Indicator Parts List'!$D$2="US$",_xlfn.XLOOKUP(CurrencyModifier!A1800,Prices!A:A,Prices!E:E,"MISSING")))</f>
        <v>358.37299999999999</v>
      </c>
    </row>
    <row r="1801" spans="1:2">
      <c r="A1801" t="str">
        <f>Prices!A1807</f>
        <v>41700-12</v>
      </c>
      <c r="B1801" s="470">
        <f>IF('Flow Indicator Parts List'!$D$2="CDN$",_xlfn.XLOOKUP(A1801,Prices!A:A,Prices!D:D),IF('Flow Indicator Parts List'!$D$2="US$",_xlfn.XLOOKUP(CurrencyModifier!A1801,Prices!A:A,Prices!E:E,"MISSING")))</f>
        <v>375.03300000000002</v>
      </c>
    </row>
    <row r="1802" spans="1:2">
      <c r="A1802" t="str">
        <f>Prices!A1808</f>
        <v>41701-02</v>
      </c>
      <c r="B1802" s="470">
        <f>IF('Flow Indicator Parts List'!$D$2="CDN$",_xlfn.XLOOKUP(A1802,Prices!A:A,Prices!D:D),IF('Flow Indicator Parts List'!$D$2="US$",_xlfn.XLOOKUP(CurrencyModifier!A1802,Prices!A:A,Prices!E:E,"MISSING")))</f>
        <v>151.41900000000001</v>
      </c>
    </row>
    <row r="1803" spans="1:2">
      <c r="A1803" t="str">
        <f>Prices!A1809</f>
        <v>41701-03</v>
      </c>
      <c r="B1803" s="470">
        <f>IF('Flow Indicator Parts List'!$D$2="CDN$",_xlfn.XLOOKUP(A1803,Prices!A:A,Prices!D:D),IF('Flow Indicator Parts List'!$D$2="US$",_xlfn.XLOOKUP(CurrencyModifier!A1803,Prices!A:A,Prices!E:E,"MISSING")))</f>
        <v>175.48400000000001</v>
      </c>
    </row>
    <row r="1804" spans="1:2">
      <c r="A1804" t="str">
        <f>Prices!A1810</f>
        <v>41701-04</v>
      </c>
      <c r="B1804" s="470">
        <f>IF('Flow Indicator Parts List'!$D$2="CDN$",_xlfn.XLOOKUP(A1804,Prices!A:A,Prices!D:D),IF('Flow Indicator Parts List'!$D$2="US$",_xlfn.XLOOKUP(CurrencyModifier!A1804,Prices!A:A,Prices!E:E,"MISSING")))</f>
        <v>199.548</v>
      </c>
    </row>
    <row r="1805" spans="1:2">
      <c r="A1805" t="str">
        <f>Prices!A1811</f>
        <v>41701-05</v>
      </c>
      <c r="B1805" s="470">
        <f>IF('Flow Indicator Parts List'!$D$2="CDN$",_xlfn.XLOOKUP(A1805,Prices!A:A,Prices!D:D),IF('Flow Indicator Parts List'!$D$2="US$",_xlfn.XLOOKUP(CurrencyModifier!A1805,Prices!A:A,Prices!E:E,"MISSING")))</f>
        <v>223.613</v>
      </c>
    </row>
    <row r="1806" spans="1:2">
      <c r="A1806" t="str">
        <f>Prices!A1812</f>
        <v>41701-06</v>
      </c>
      <c r="B1806" s="470">
        <f>IF('Flow Indicator Parts List'!$D$2="CDN$",_xlfn.XLOOKUP(A1806,Prices!A:A,Prices!D:D),IF('Flow Indicator Parts List'!$D$2="US$",_xlfn.XLOOKUP(CurrencyModifier!A1806,Prices!A:A,Prices!E:E,"MISSING")))</f>
        <v>247.678</v>
      </c>
    </row>
    <row r="1807" spans="1:2">
      <c r="A1807" t="str">
        <f>Prices!A1813</f>
        <v>41701-07</v>
      </c>
      <c r="B1807" s="470">
        <f>IF('Flow Indicator Parts List'!$D$2="CDN$",_xlfn.XLOOKUP(A1807,Prices!A:A,Prices!D:D),IF('Flow Indicator Parts List'!$D$2="US$",_xlfn.XLOOKUP(CurrencyModifier!A1807,Prices!A:A,Prices!E:E,"MISSING")))</f>
        <v>271.74099999999999</v>
      </c>
    </row>
    <row r="1808" spans="1:2">
      <c r="A1808" t="str">
        <f>Prices!A1814</f>
        <v>41701-08</v>
      </c>
      <c r="B1808" s="470">
        <f>IF('Flow Indicator Parts List'!$D$2="CDN$",_xlfn.XLOOKUP(A1808,Prices!A:A,Prices!D:D),IF('Flow Indicator Parts List'!$D$2="US$",_xlfn.XLOOKUP(CurrencyModifier!A1808,Prices!A:A,Prices!E:E,"MISSING")))</f>
        <v>295.80599999999998</v>
      </c>
    </row>
    <row r="1809" spans="1:2">
      <c r="A1809" t="str">
        <f>Prices!A1815</f>
        <v>41701-09</v>
      </c>
      <c r="B1809" s="470">
        <f>IF('Flow Indicator Parts List'!$D$2="CDN$",_xlfn.XLOOKUP(A1809,Prices!A:A,Prices!D:D),IF('Flow Indicator Parts List'!$D$2="US$",_xlfn.XLOOKUP(CurrencyModifier!A1809,Prices!A:A,Prices!E:E,"MISSING")))</f>
        <v>319.87</v>
      </c>
    </row>
    <row r="1810" spans="1:2">
      <c r="A1810" t="str">
        <f>Prices!A1816</f>
        <v>41701-10</v>
      </c>
      <c r="B1810" s="470">
        <f>IF('Flow Indicator Parts List'!$D$2="CDN$",_xlfn.XLOOKUP(A1810,Prices!A:A,Prices!D:D),IF('Flow Indicator Parts List'!$D$2="US$",_xlfn.XLOOKUP(CurrencyModifier!A1810,Prices!A:A,Prices!E:E,"MISSING")))</f>
        <v>358.37299999999999</v>
      </c>
    </row>
    <row r="1811" spans="1:2">
      <c r="A1811" t="str">
        <f>Prices!A1817</f>
        <v>41701-11</v>
      </c>
      <c r="B1811" s="470">
        <f>IF('Flow Indicator Parts List'!$D$2="CDN$",_xlfn.XLOOKUP(A1811,Prices!A:A,Prices!D:D),IF('Flow Indicator Parts List'!$D$2="US$",_xlfn.XLOOKUP(CurrencyModifier!A1811,Prices!A:A,Prices!E:E,"MISSING")))</f>
        <v>375.03300000000002</v>
      </c>
    </row>
    <row r="1812" spans="1:2">
      <c r="A1812" t="str">
        <f>Prices!A1818</f>
        <v>41701-CS</v>
      </c>
      <c r="B1812" s="470">
        <f>IF('Flow Indicator Parts List'!$D$2="CDN$",_xlfn.XLOOKUP(A1812,Prices!A:A,Prices!D:D),IF('Flow Indicator Parts List'!$D$2="US$",_xlfn.XLOOKUP(CurrencyModifier!A1812,Prices!A:A,Prices!E:E,"MISSING")))</f>
        <v>151.41999999999999</v>
      </c>
    </row>
    <row r="1813" spans="1:2">
      <c r="A1813" t="str">
        <f>Prices!A1819</f>
        <v>41706-02</v>
      </c>
      <c r="B1813" s="470">
        <f>IF('Flow Indicator Parts List'!$D$2="CDN$",_xlfn.XLOOKUP(A1813,Prices!A:A,Prices!D:D),IF('Flow Indicator Parts List'!$D$2="US$",_xlfn.XLOOKUP(CurrencyModifier!A1813,Prices!A:A,Prices!E:E,"MISSING")))</f>
        <v>155.08000000000001</v>
      </c>
    </row>
    <row r="1814" spans="1:2">
      <c r="A1814" t="str">
        <f>Prices!A1820</f>
        <v>41706-03</v>
      </c>
      <c r="B1814" s="470">
        <f>IF('Flow Indicator Parts List'!$D$2="CDN$",_xlfn.XLOOKUP(A1814,Prices!A:A,Prices!D:D),IF('Flow Indicator Parts List'!$D$2="US$",_xlfn.XLOOKUP(CurrencyModifier!A1814,Prices!A:A,Prices!E:E,"MISSING")))</f>
        <v>179.14400000000001</v>
      </c>
    </row>
    <row r="1815" spans="1:2">
      <c r="A1815" t="str">
        <f>Prices!A1821</f>
        <v>41706-04</v>
      </c>
      <c r="B1815" s="470">
        <f>IF('Flow Indicator Parts List'!$D$2="CDN$",_xlfn.XLOOKUP(A1815,Prices!A:A,Prices!D:D),IF('Flow Indicator Parts List'!$D$2="US$",_xlfn.XLOOKUP(CurrencyModifier!A1815,Prices!A:A,Prices!E:E,"MISSING")))</f>
        <v>203.209</v>
      </c>
    </row>
    <row r="1816" spans="1:2">
      <c r="A1816" t="str">
        <f>Prices!A1822</f>
        <v>41706-05</v>
      </c>
      <c r="B1816" s="470">
        <f>IF('Flow Indicator Parts List'!$D$2="CDN$",_xlfn.XLOOKUP(A1816,Prices!A:A,Prices!D:D),IF('Flow Indicator Parts List'!$D$2="US$",_xlfn.XLOOKUP(CurrencyModifier!A1816,Prices!A:A,Prices!E:E,"MISSING")))</f>
        <v>227.273</v>
      </c>
    </row>
    <row r="1817" spans="1:2">
      <c r="A1817" t="str">
        <f>Prices!A1823</f>
        <v>41706-06</v>
      </c>
      <c r="B1817" s="470">
        <f>IF('Flow Indicator Parts List'!$D$2="CDN$",_xlfn.XLOOKUP(A1817,Prices!A:A,Prices!D:D),IF('Flow Indicator Parts List'!$D$2="US$",_xlfn.XLOOKUP(CurrencyModifier!A1817,Prices!A:A,Prices!E:E,"MISSING")))</f>
        <v>251.33799999999999</v>
      </c>
    </row>
    <row r="1818" spans="1:2">
      <c r="A1818" t="str">
        <f>Prices!A1824</f>
        <v>41706-07</v>
      </c>
      <c r="B1818" s="470">
        <f>IF('Flow Indicator Parts List'!$D$2="CDN$",_xlfn.XLOOKUP(A1818,Prices!A:A,Prices!D:D),IF('Flow Indicator Parts List'!$D$2="US$",_xlfn.XLOOKUP(CurrencyModifier!A1818,Prices!A:A,Prices!E:E,"MISSING")))</f>
        <v>275.40300000000002</v>
      </c>
    </row>
    <row r="1819" spans="1:2">
      <c r="A1819" t="str">
        <f>Prices!A1825</f>
        <v>41706-08</v>
      </c>
      <c r="B1819" s="470">
        <f>IF('Flow Indicator Parts List'!$D$2="CDN$",_xlfn.XLOOKUP(A1819,Prices!A:A,Prices!D:D),IF('Flow Indicator Parts List'!$D$2="US$",_xlfn.XLOOKUP(CurrencyModifier!A1819,Prices!A:A,Prices!E:E,"MISSING")))</f>
        <v>299.46600000000001</v>
      </c>
    </row>
    <row r="1820" spans="1:2">
      <c r="A1820" t="str">
        <f>Prices!A1826</f>
        <v>41706-09</v>
      </c>
      <c r="B1820" s="470">
        <f>IF('Flow Indicator Parts List'!$D$2="CDN$",_xlfn.XLOOKUP(A1820,Prices!A:A,Prices!D:D),IF('Flow Indicator Parts List'!$D$2="US$",_xlfn.XLOOKUP(CurrencyModifier!A1820,Prices!A:A,Prices!E:E,"MISSING")))</f>
        <v>323.53100000000001</v>
      </c>
    </row>
    <row r="1821" spans="1:2">
      <c r="A1821" t="str">
        <f>Prices!A1827</f>
        <v>41706-10</v>
      </c>
      <c r="B1821" s="470">
        <f>IF('Flow Indicator Parts List'!$D$2="CDN$",_xlfn.XLOOKUP(A1821,Prices!A:A,Prices!D:D),IF('Flow Indicator Parts List'!$D$2="US$",_xlfn.XLOOKUP(CurrencyModifier!A1821,Prices!A:A,Prices!E:E,"MISSING")))</f>
        <v>347.59500000000003</v>
      </c>
    </row>
    <row r="1822" spans="1:2">
      <c r="A1822" t="str">
        <f>Prices!A1828</f>
        <v>41706-11</v>
      </c>
      <c r="B1822" s="470">
        <f>IF('Flow Indicator Parts List'!$D$2="CDN$",_xlfn.XLOOKUP(A1822,Prices!A:A,Prices!D:D),IF('Flow Indicator Parts List'!$D$2="US$",_xlfn.XLOOKUP(CurrencyModifier!A1822,Prices!A:A,Prices!E:E,"MISSING")))</f>
        <v>386.09800000000001</v>
      </c>
    </row>
    <row r="1823" spans="1:2">
      <c r="A1823" t="str">
        <f>Prices!A1829</f>
        <v>41706-12</v>
      </c>
      <c r="B1823" s="470">
        <f>IF('Flow Indicator Parts List'!$D$2="CDN$",_xlfn.XLOOKUP(A1823,Prices!A:A,Prices!D:D),IF('Flow Indicator Parts List'!$D$2="US$",_xlfn.XLOOKUP(CurrencyModifier!A1823,Prices!A:A,Prices!E:E,"MISSING")))</f>
        <v>402.75799999999998</v>
      </c>
    </row>
    <row r="1824" spans="1:2">
      <c r="A1824" t="str">
        <f>Prices!A1830</f>
        <v>41707-02</v>
      </c>
      <c r="B1824" s="470">
        <f>IF('Flow Indicator Parts List'!$D$2="CDN$",_xlfn.XLOOKUP(A1824,Prices!A:A,Prices!D:D),IF('Flow Indicator Parts List'!$D$2="US$",_xlfn.XLOOKUP(CurrencyModifier!A1824,Prices!A:A,Prices!E:E,"MISSING")))</f>
        <v>179.14400000000001</v>
      </c>
    </row>
    <row r="1825" spans="1:2">
      <c r="A1825" t="str">
        <f>Prices!A1831</f>
        <v>41707-03</v>
      </c>
      <c r="B1825" s="470">
        <f>IF('Flow Indicator Parts List'!$D$2="CDN$",_xlfn.XLOOKUP(A1825,Prices!A:A,Prices!D:D),IF('Flow Indicator Parts List'!$D$2="US$",_xlfn.XLOOKUP(CurrencyModifier!A1825,Prices!A:A,Prices!E:E,"MISSING")))</f>
        <v>203.209</v>
      </c>
    </row>
    <row r="1826" spans="1:2">
      <c r="A1826" t="str">
        <f>Prices!A1832</f>
        <v>41707-04</v>
      </c>
      <c r="B1826" s="470">
        <f>IF('Flow Indicator Parts List'!$D$2="CDN$",_xlfn.XLOOKUP(A1826,Prices!A:A,Prices!D:D),IF('Flow Indicator Parts List'!$D$2="US$",_xlfn.XLOOKUP(CurrencyModifier!A1826,Prices!A:A,Prices!E:E,"MISSING")))</f>
        <v>227.273</v>
      </c>
    </row>
    <row r="1827" spans="1:2">
      <c r="A1827" t="str">
        <f>Prices!A1833</f>
        <v>41707-05</v>
      </c>
      <c r="B1827" s="470">
        <f>IF('Flow Indicator Parts List'!$D$2="CDN$",_xlfn.XLOOKUP(A1827,Prices!A:A,Prices!D:D),IF('Flow Indicator Parts List'!$D$2="US$",_xlfn.XLOOKUP(CurrencyModifier!A1827,Prices!A:A,Prices!E:E,"MISSING")))</f>
        <v>251.33799999999999</v>
      </c>
    </row>
    <row r="1828" spans="1:2">
      <c r="A1828" t="str">
        <f>Prices!A1834</f>
        <v>41707-06</v>
      </c>
      <c r="B1828" s="470">
        <f>IF('Flow Indicator Parts List'!$D$2="CDN$",_xlfn.XLOOKUP(A1828,Prices!A:A,Prices!D:D),IF('Flow Indicator Parts List'!$D$2="US$",_xlfn.XLOOKUP(CurrencyModifier!A1828,Prices!A:A,Prices!E:E,"MISSING")))</f>
        <v>275.40300000000002</v>
      </c>
    </row>
    <row r="1829" spans="1:2">
      <c r="A1829" t="str">
        <f>Prices!A1835</f>
        <v>41707-07</v>
      </c>
      <c r="B1829" s="470">
        <f>IF('Flow Indicator Parts List'!$D$2="CDN$",_xlfn.XLOOKUP(A1829,Prices!A:A,Prices!D:D),IF('Flow Indicator Parts List'!$D$2="US$",_xlfn.XLOOKUP(CurrencyModifier!A1829,Prices!A:A,Prices!E:E,"MISSING")))</f>
        <v>299.46600000000001</v>
      </c>
    </row>
    <row r="1830" spans="1:2">
      <c r="A1830" t="str">
        <f>Prices!A1836</f>
        <v>41707-08</v>
      </c>
      <c r="B1830" s="470">
        <f>IF('Flow Indicator Parts List'!$D$2="CDN$",_xlfn.XLOOKUP(A1830,Prices!A:A,Prices!D:D),IF('Flow Indicator Parts List'!$D$2="US$",_xlfn.XLOOKUP(CurrencyModifier!A1830,Prices!A:A,Prices!E:E,"MISSING")))</f>
        <v>323.53100000000001</v>
      </c>
    </row>
    <row r="1831" spans="1:2">
      <c r="A1831" t="str">
        <f>Prices!A1837</f>
        <v>41707-09</v>
      </c>
      <c r="B1831" s="470">
        <f>IF('Flow Indicator Parts List'!$D$2="CDN$",_xlfn.XLOOKUP(A1831,Prices!A:A,Prices!D:D),IF('Flow Indicator Parts List'!$D$2="US$",_xlfn.XLOOKUP(CurrencyModifier!A1831,Prices!A:A,Prices!E:E,"MISSING")))</f>
        <v>347.59500000000003</v>
      </c>
    </row>
    <row r="1832" spans="1:2">
      <c r="A1832" t="str">
        <f>Prices!A1838</f>
        <v>41707-10</v>
      </c>
      <c r="B1832" s="470">
        <f>IF('Flow Indicator Parts List'!$D$2="CDN$",_xlfn.XLOOKUP(A1832,Prices!A:A,Prices!D:D),IF('Flow Indicator Parts List'!$D$2="US$",_xlfn.XLOOKUP(CurrencyModifier!A1832,Prices!A:A,Prices!E:E,"MISSING")))</f>
        <v>386.09800000000001</v>
      </c>
    </row>
    <row r="1833" spans="1:2">
      <c r="A1833" t="str">
        <f>Prices!A1839</f>
        <v>41707-11</v>
      </c>
      <c r="B1833" s="470">
        <f>IF('Flow Indicator Parts List'!$D$2="CDN$",_xlfn.XLOOKUP(A1833,Prices!A:A,Prices!D:D),IF('Flow Indicator Parts List'!$D$2="US$",_xlfn.XLOOKUP(CurrencyModifier!A1833,Prices!A:A,Prices!E:E,"MISSING")))</f>
        <v>402.75799999999998</v>
      </c>
    </row>
    <row r="1834" spans="1:2">
      <c r="A1834" t="str">
        <f>Prices!A1840</f>
        <v>41710-02</v>
      </c>
      <c r="B1834" s="470">
        <f>IF('Flow Indicator Parts List'!$D$2="CDN$",_xlfn.XLOOKUP(A1834,Prices!A:A,Prices!D:D),IF('Flow Indicator Parts List'!$D$2="US$",_xlfn.XLOOKUP(CurrencyModifier!A1834,Prices!A:A,Prices!E:E,"MISSING")))</f>
        <v>72.084999999999994</v>
      </c>
    </row>
    <row r="1835" spans="1:2">
      <c r="A1835" t="str">
        <f>Prices!A1841</f>
        <v>41710-03</v>
      </c>
      <c r="B1835" s="470">
        <f>IF('Flow Indicator Parts List'!$D$2="CDN$",_xlfn.XLOOKUP(A1835,Prices!A:A,Prices!D:D),IF('Flow Indicator Parts List'!$D$2="US$",_xlfn.XLOOKUP(CurrencyModifier!A1835,Prices!A:A,Prices!E:E,"MISSING")))</f>
        <v>108.35</v>
      </c>
    </row>
    <row r="1836" spans="1:2">
      <c r="A1836" t="str">
        <f>Prices!A1842</f>
        <v>41710-04</v>
      </c>
      <c r="B1836" s="470">
        <f>IF('Flow Indicator Parts List'!$D$2="CDN$",_xlfn.XLOOKUP(A1836,Prices!A:A,Prices!D:D),IF('Flow Indicator Parts List'!$D$2="US$",_xlfn.XLOOKUP(CurrencyModifier!A1836,Prices!A:A,Prices!E:E,"MISSING")))</f>
        <v>144.631</v>
      </c>
    </row>
    <row r="1837" spans="1:2">
      <c r="A1837" t="str">
        <f>Prices!A1843</f>
        <v>41710-05</v>
      </c>
      <c r="B1837" s="470">
        <f>IF('Flow Indicator Parts List'!$D$2="CDN$",_xlfn.XLOOKUP(A1837,Prices!A:A,Prices!D:D),IF('Flow Indicator Parts List'!$D$2="US$",_xlfn.XLOOKUP(CurrencyModifier!A1837,Prices!A:A,Prices!E:E,"MISSING")))</f>
        <v>180.89500000000001</v>
      </c>
    </row>
    <row r="1838" spans="1:2">
      <c r="A1838" t="str">
        <f>Prices!A1844</f>
        <v>41710-06</v>
      </c>
      <c r="B1838" s="470">
        <f>IF('Flow Indicator Parts List'!$D$2="CDN$",_xlfn.XLOOKUP(A1838,Prices!A:A,Prices!D:D),IF('Flow Indicator Parts List'!$D$2="US$",_xlfn.XLOOKUP(CurrencyModifier!A1838,Prices!A:A,Prices!E:E,"MISSING")))</f>
        <v>217.161</v>
      </c>
    </row>
    <row r="1839" spans="1:2">
      <c r="A1839" t="str">
        <f>Prices!A1845</f>
        <v>41710-07</v>
      </c>
      <c r="B1839" s="470">
        <f>IF('Flow Indicator Parts List'!$D$2="CDN$",_xlfn.XLOOKUP(A1839,Prices!A:A,Prices!D:D),IF('Flow Indicator Parts List'!$D$2="US$",_xlfn.XLOOKUP(CurrencyModifier!A1839,Prices!A:A,Prices!E:E,"MISSING")))</f>
        <v>253.44300000000001</v>
      </c>
    </row>
    <row r="1840" spans="1:2">
      <c r="A1840" t="str">
        <f>Prices!A1846</f>
        <v>41710-08</v>
      </c>
      <c r="B1840" s="470">
        <f>IF('Flow Indicator Parts List'!$D$2="CDN$",_xlfn.XLOOKUP(A1840,Prices!A:A,Prices!D:D),IF('Flow Indicator Parts List'!$D$2="US$",_xlfn.XLOOKUP(CurrencyModifier!A1840,Prices!A:A,Prices!E:E,"MISSING")))</f>
        <v>289.70800000000003</v>
      </c>
    </row>
    <row r="1841" spans="1:2">
      <c r="A1841" t="str">
        <f>Prices!A1847</f>
        <v>41710-09</v>
      </c>
      <c r="B1841" s="470">
        <f>IF('Flow Indicator Parts List'!$D$2="CDN$",_xlfn.XLOOKUP(A1841,Prices!A:A,Prices!D:D),IF('Flow Indicator Parts List'!$D$2="US$",_xlfn.XLOOKUP(CurrencyModifier!A1841,Prices!A:A,Prices!E:E,"MISSING")))</f>
        <v>325.971</v>
      </c>
    </row>
    <row r="1842" spans="1:2">
      <c r="A1842" t="str">
        <f>Prices!A1848</f>
        <v>41710-10</v>
      </c>
      <c r="B1842" s="470">
        <f>IF('Flow Indicator Parts List'!$D$2="CDN$",_xlfn.XLOOKUP(A1842,Prices!A:A,Prices!D:D),IF('Flow Indicator Parts List'!$D$2="US$",_xlfn.XLOOKUP(CurrencyModifier!A1842,Prices!A:A,Prices!E:E,"MISSING")))</f>
        <v>362.23500000000001</v>
      </c>
    </row>
    <row r="1843" spans="1:2">
      <c r="A1843" t="str">
        <f>Prices!A1849</f>
        <v>41710-11</v>
      </c>
      <c r="B1843" s="470">
        <f>IF('Flow Indicator Parts List'!$D$2="CDN$",_xlfn.XLOOKUP(A1843,Prices!A:A,Prices!D:D),IF('Flow Indicator Parts List'!$D$2="US$",_xlfn.XLOOKUP(CurrencyModifier!A1843,Prices!A:A,Prices!E:E,"MISSING")))</f>
        <v>398.51799999999997</v>
      </c>
    </row>
    <row r="1844" spans="1:2">
      <c r="A1844" t="str">
        <f>Prices!A1850</f>
        <v>41710-12</v>
      </c>
      <c r="B1844" s="470">
        <f>IF('Flow Indicator Parts List'!$D$2="CDN$",_xlfn.XLOOKUP(A1844,Prices!A:A,Prices!D:D),IF('Flow Indicator Parts List'!$D$2="US$",_xlfn.XLOOKUP(CurrencyModifier!A1844,Prices!A:A,Prices!E:E,"MISSING")))</f>
        <v>434.78100000000001</v>
      </c>
    </row>
    <row r="1845" spans="1:2">
      <c r="A1845" t="str">
        <f>Prices!A1851</f>
        <v>41711-02</v>
      </c>
      <c r="B1845" s="470">
        <f>IF('Flow Indicator Parts List'!$D$2="CDN$",_xlfn.XLOOKUP(A1845,Prices!A:A,Prices!D:D),IF('Flow Indicator Parts List'!$D$2="US$",_xlfn.XLOOKUP(CurrencyModifier!A1845,Prices!A:A,Prices!E:E,"MISSING")))</f>
        <v>80.378</v>
      </c>
    </row>
    <row r="1846" spans="1:2">
      <c r="A1846" t="str">
        <f>Prices!A1852</f>
        <v>41711-03</v>
      </c>
      <c r="B1846" s="470">
        <f>IF('Flow Indicator Parts List'!$D$2="CDN$",_xlfn.XLOOKUP(A1846,Prices!A:A,Prices!D:D),IF('Flow Indicator Parts List'!$D$2="US$",_xlfn.XLOOKUP(CurrencyModifier!A1846,Prices!A:A,Prices!E:E,"MISSING")))</f>
        <v>116.643</v>
      </c>
    </row>
    <row r="1847" spans="1:2">
      <c r="A1847" t="str">
        <f>Prices!A1853</f>
        <v>41711-04</v>
      </c>
      <c r="B1847" s="470">
        <f>IF('Flow Indicator Parts List'!$D$2="CDN$",_xlfn.XLOOKUP(A1847,Prices!A:A,Prices!D:D),IF('Flow Indicator Parts List'!$D$2="US$",_xlfn.XLOOKUP(CurrencyModifier!A1847,Prices!A:A,Prices!E:E,"MISSING")))</f>
        <v>152.92500000000001</v>
      </c>
    </row>
    <row r="1848" spans="1:2">
      <c r="A1848" t="str">
        <f>Prices!A1854</f>
        <v>41711-05</v>
      </c>
      <c r="B1848" s="470">
        <f>IF('Flow Indicator Parts List'!$D$2="CDN$",_xlfn.XLOOKUP(A1848,Prices!A:A,Prices!D:D),IF('Flow Indicator Parts List'!$D$2="US$",_xlfn.XLOOKUP(CurrencyModifier!A1848,Prices!A:A,Prices!E:E,"MISSING")))</f>
        <v>189.18899999999999</v>
      </c>
    </row>
    <row r="1849" spans="1:2">
      <c r="A1849" t="str">
        <f>Prices!A1855</f>
        <v>41711-06</v>
      </c>
      <c r="B1849" s="470">
        <f>IF('Flow Indicator Parts List'!$D$2="CDN$",_xlfn.XLOOKUP(A1849,Prices!A:A,Prices!D:D),IF('Flow Indicator Parts List'!$D$2="US$",_xlfn.XLOOKUP(CurrencyModifier!A1849,Prices!A:A,Prices!E:E,"MISSING")))</f>
        <v>225.453</v>
      </c>
    </row>
    <row r="1850" spans="1:2">
      <c r="A1850" t="str">
        <f>Prices!A1856</f>
        <v>41711-07</v>
      </c>
      <c r="B1850" s="470">
        <f>IF('Flow Indicator Parts List'!$D$2="CDN$",_xlfn.XLOOKUP(A1850,Prices!A:A,Prices!D:D),IF('Flow Indicator Parts List'!$D$2="US$",_xlfn.XLOOKUP(CurrencyModifier!A1850,Prices!A:A,Prices!E:E,"MISSING")))</f>
        <v>261.71800000000002</v>
      </c>
    </row>
    <row r="1851" spans="1:2">
      <c r="A1851" t="str">
        <f>Prices!A1857</f>
        <v>41711-08</v>
      </c>
      <c r="B1851" s="470">
        <f>IF('Flow Indicator Parts List'!$D$2="CDN$",_xlfn.XLOOKUP(A1851,Prices!A:A,Prices!D:D),IF('Flow Indicator Parts List'!$D$2="US$",_xlfn.XLOOKUP(CurrencyModifier!A1851,Prices!A:A,Prices!E:E,"MISSING")))</f>
        <v>297.99900000000002</v>
      </c>
    </row>
    <row r="1852" spans="1:2">
      <c r="A1852" t="str">
        <f>Prices!A1858</f>
        <v>41711-09</v>
      </c>
      <c r="B1852" s="470">
        <f>IF('Flow Indicator Parts List'!$D$2="CDN$",_xlfn.XLOOKUP(A1852,Prices!A:A,Prices!D:D),IF('Flow Indicator Parts List'!$D$2="US$",_xlfn.XLOOKUP(CurrencyModifier!A1852,Prices!A:A,Prices!E:E,"MISSING")))</f>
        <v>334.26299999999998</v>
      </c>
    </row>
    <row r="1853" spans="1:2">
      <c r="A1853" t="str">
        <f>Prices!A1859</f>
        <v>41711-10</v>
      </c>
      <c r="B1853" s="470">
        <f>IF('Flow Indicator Parts List'!$D$2="CDN$",_xlfn.XLOOKUP(A1853,Prices!A:A,Prices!D:D),IF('Flow Indicator Parts List'!$D$2="US$",_xlfn.XLOOKUP(CurrencyModifier!A1853,Prices!A:A,Prices!E:E,"MISSING")))</f>
        <v>370.52800000000002</v>
      </c>
    </row>
    <row r="1854" spans="1:2">
      <c r="A1854" t="str">
        <f>Prices!A1860</f>
        <v>41711-11</v>
      </c>
      <c r="B1854" s="470">
        <f>IF('Flow Indicator Parts List'!$D$2="CDN$",_xlfn.XLOOKUP(A1854,Prices!A:A,Prices!D:D),IF('Flow Indicator Parts List'!$D$2="US$",_xlfn.XLOOKUP(CurrencyModifier!A1854,Prices!A:A,Prices!E:E,"MISSING")))</f>
        <v>406.80900000000003</v>
      </c>
    </row>
    <row r="1855" spans="1:2">
      <c r="A1855" t="str">
        <f>Prices!A1861</f>
        <v>41802-00</v>
      </c>
      <c r="B1855" s="470">
        <f>IF('Flow Indicator Parts List'!$D$2="CDN$",_xlfn.XLOOKUP(A1855,Prices!A:A,Prices!D:D),IF('Flow Indicator Parts List'!$D$2="US$",_xlfn.XLOOKUP(CurrencyModifier!A1855,Prices!A:A,Prices!E:E,"MISSING")))</f>
        <v>27.779</v>
      </c>
    </row>
    <row r="1856" spans="1:2">
      <c r="A1856" t="str">
        <f>Prices!A1862</f>
        <v>41802-01</v>
      </c>
      <c r="B1856" s="470">
        <f>IF('Flow Indicator Parts List'!$D$2="CDN$",_xlfn.XLOOKUP(A1856,Prices!A:A,Prices!D:D),IF('Flow Indicator Parts List'!$D$2="US$",_xlfn.XLOOKUP(CurrencyModifier!A1856,Prices!A:A,Prices!E:E,"MISSING")))</f>
        <v>14.409000000000001</v>
      </c>
    </row>
    <row r="1857" spans="1:2">
      <c r="A1857" t="str">
        <f>Prices!A1863</f>
        <v>41802-02</v>
      </c>
      <c r="B1857" s="470">
        <f>IF('Flow Indicator Parts List'!$D$2="CDN$",_xlfn.XLOOKUP(A1857,Prices!A:A,Prices!D:D),IF('Flow Indicator Parts List'!$D$2="US$",_xlfn.XLOOKUP(CurrencyModifier!A1857,Prices!A:A,Prices!E:E,"MISSING")))</f>
        <v>4.5579999999999998</v>
      </c>
    </row>
    <row r="1858" spans="1:2">
      <c r="A1858" t="str">
        <f>Prices!A1864</f>
        <v>41802-03</v>
      </c>
      <c r="B1858" s="470">
        <f>IF('Flow Indicator Parts List'!$D$2="CDN$",_xlfn.XLOOKUP(A1858,Prices!A:A,Prices!D:D),IF('Flow Indicator Parts List'!$D$2="US$",_xlfn.XLOOKUP(CurrencyModifier!A1858,Prices!A:A,Prices!E:E,"MISSING")))</f>
        <v>2.8159999999999998</v>
      </c>
    </row>
    <row r="1859" spans="1:2">
      <c r="A1859" t="str">
        <f>Prices!A1865</f>
        <v>41802-04</v>
      </c>
      <c r="B1859" s="470">
        <f>IF('Flow Indicator Parts List'!$D$2="CDN$",_xlfn.XLOOKUP(A1859,Prices!A:A,Prices!D:D),IF('Flow Indicator Parts List'!$D$2="US$",_xlfn.XLOOKUP(CurrencyModifier!A1859,Prices!A:A,Prices!E:E,"MISSING")))</f>
        <v>1.4350000000000001</v>
      </c>
    </row>
    <row r="1860" spans="1:2">
      <c r="A1860" t="str">
        <f>Prices!A1866</f>
        <v>41803-00</v>
      </c>
      <c r="B1860" s="470">
        <f>IF('Flow Indicator Parts List'!$D$2="CDN$",_xlfn.XLOOKUP(A1860,Prices!A:A,Prices!D:D),IF('Flow Indicator Parts List'!$D$2="US$",_xlfn.XLOOKUP(CurrencyModifier!A1860,Prices!A:A,Prices!E:E,"MISSING")))</f>
        <v>27.779</v>
      </c>
    </row>
    <row r="1861" spans="1:2">
      <c r="A1861" t="str">
        <f>Prices!A1867</f>
        <v>41804-00</v>
      </c>
      <c r="B1861" s="470">
        <f>IF('Flow Indicator Parts List'!$D$2="CDN$",_xlfn.XLOOKUP(A1861,Prices!A:A,Prices!D:D),IF('Flow Indicator Parts List'!$D$2="US$",_xlfn.XLOOKUP(CurrencyModifier!A1861,Prices!A:A,Prices!E:E,"MISSING")))</f>
        <v>27.779</v>
      </c>
    </row>
    <row r="1862" spans="1:2">
      <c r="A1862" t="str">
        <f>Prices!A1868</f>
        <v>41805-00</v>
      </c>
      <c r="B1862" s="470">
        <f>IF('Flow Indicator Parts List'!$D$2="CDN$",_xlfn.XLOOKUP(A1862,Prices!A:A,Prices!D:D),IF('Flow Indicator Parts List'!$D$2="US$",_xlfn.XLOOKUP(CurrencyModifier!A1862,Prices!A:A,Prices!E:E,"MISSING")))</f>
        <v>27.779</v>
      </c>
    </row>
    <row r="1863" spans="1:2">
      <c r="A1863" t="str">
        <f>Prices!A1869</f>
        <v>41805-23</v>
      </c>
      <c r="B1863" s="470">
        <f>IF('Flow Indicator Parts List'!$D$2="CDN$",_xlfn.XLOOKUP(A1863,Prices!A:A,Prices!D:D),IF('Flow Indicator Parts List'!$D$2="US$",_xlfn.XLOOKUP(CurrencyModifier!A1863,Prices!A:A,Prices!E:E,"MISSING")))</f>
        <v>27.779</v>
      </c>
    </row>
    <row r="1864" spans="1:2">
      <c r="A1864" t="str">
        <f>Prices!A1870</f>
        <v>41805-32</v>
      </c>
      <c r="B1864" s="470">
        <f>IF('Flow Indicator Parts List'!$D$2="CDN$",_xlfn.XLOOKUP(A1864,Prices!A:A,Prices!D:D),IF('Flow Indicator Parts List'!$D$2="US$",_xlfn.XLOOKUP(CurrencyModifier!A1864,Prices!A:A,Prices!E:E,"MISSING")))</f>
        <v>27.779</v>
      </c>
    </row>
    <row r="1865" spans="1:2">
      <c r="A1865" t="str">
        <f>Prices!A1871</f>
        <v>41806-00</v>
      </c>
      <c r="B1865" s="470">
        <f>IF('Flow Indicator Parts List'!$D$2="CDN$",_xlfn.XLOOKUP(A1865,Prices!A:A,Prices!D:D),IF('Flow Indicator Parts List'!$D$2="US$",_xlfn.XLOOKUP(CurrencyModifier!A1865,Prices!A:A,Prices!E:E,"MISSING")))</f>
        <v>31.349</v>
      </c>
    </row>
    <row r="1866" spans="1:2">
      <c r="A1866" t="str">
        <f>Prices!A1872</f>
        <v>41812-00</v>
      </c>
      <c r="B1866" s="470">
        <f>IF('Flow Indicator Parts List'!$D$2="CDN$",_xlfn.XLOOKUP(A1866,Prices!A:A,Prices!D:D),IF('Flow Indicator Parts List'!$D$2="US$",_xlfn.XLOOKUP(CurrencyModifier!A1866,Prices!A:A,Prices!E:E,"MISSING")))</f>
        <v>29.463999999999999</v>
      </c>
    </row>
    <row r="1867" spans="1:2">
      <c r="A1867" t="str">
        <f>Prices!A1873</f>
        <v>41813-00</v>
      </c>
      <c r="B1867" s="470">
        <f>IF('Flow Indicator Parts List'!$D$2="CDN$",_xlfn.XLOOKUP(A1867,Prices!A:A,Prices!D:D),IF('Flow Indicator Parts List'!$D$2="US$",_xlfn.XLOOKUP(CurrencyModifier!A1867,Prices!A:A,Prices!E:E,"MISSING")))</f>
        <v>29.463999999999999</v>
      </c>
    </row>
    <row r="1868" spans="1:2">
      <c r="A1868" t="str">
        <f>Prices!A1874</f>
        <v>41814-00</v>
      </c>
      <c r="B1868" s="470">
        <f>IF('Flow Indicator Parts List'!$D$2="CDN$",_xlfn.XLOOKUP(A1868,Prices!A:A,Prices!D:D),IF('Flow Indicator Parts List'!$D$2="US$",_xlfn.XLOOKUP(CurrencyModifier!A1868,Prices!A:A,Prices!E:E,"MISSING")))</f>
        <v>29.463999999999999</v>
      </c>
    </row>
    <row r="1869" spans="1:2">
      <c r="A1869" t="str">
        <f>Prices!A1875</f>
        <v>41815-00</v>
      </c>
      <c r="B1869" s="470">
        <f>IF('Flow Indicator Parts List'!$D$2="CDN$",_xlfn.XLOOKUP(A1869,Prices!A:A,Prices!D:D),IF('Flow Indicator Parts List'!$D$2="US$",_xlfn.XLOOKUP(CurrencyModifier!A1869,Prices!A:A,Prices!E:E,"MISSING")))</f>
        <v>29.463999999999999</v>
      </c>
    </row>
    <row r="1870" spans="1:2">
      <c r="A1870" t="str">
        <f>Prices!A1876</f>
        <v>41815-23</v>
      </c>
      <c r="B1870" s="470">
        <f>IF('Flow Indicator Parts List'!$D$2="CDN$",_xlfn.XLOOKUP(A1870,Prices!A:A,Prices!D:D),IF('Flow Indicator Parts List'!$D$2="US$",_xlfn.XLOOKUP(CurrencyModifier!A1870,Prices!A:A,Prices!E:E,"MISSING")))</f>
        <v>29.463999999999999</v>
      </c>
    </row>
    <row r="1871" spans="1:2">
      <c r="A1871" t="str">
        <f>Prices!A1877</f>
        <v>41815-32</v>
      </c>
      <c r="B1871" s="470">
        <f>IF('Flow Indicator Parts List'!$D$2="CDN$",_xlfn.XLOOKUP(A1871,Prices!A:A,Prices!D:D),IF('Flow Indicator Parts List'!$D$2="US$",_xlfn.XLOOKUP(CurrencyModifier!A1871,Prices!A:A,Prices!E:E,"MISSING")))</f>
        <v>29.463999999999999</v>
      </c>
    </row>
    <row r="1872" spans="1:2">
      <c r="A1872" t="str">
        <f>Prices!A1878</f>
        <v>41816-00</v>
      </c>
      <c r="B1872" s="470">
        <f>IF('Flow Indicator Parts List'!$D$2="CDN$",_xlfn.XLOOKUP(A1872,Prices!A:A,Prices!D:D),IF('Flow Indicator Parts List'!$D$2="US$",_xlfn.XLOOKUP(CurrencyModifier!A1872,Prices!A:A,Prices!E:E,"MISSING")))</f>
        <v>33.030999999999999</v>
      </c>
    </row>
    <row r="1873" spans="1:2">
      <c r="A1873" t="str">
        <f>Prices!A1879</f>
        <v>41816-22</v>
      </c>
      <c r="B1873" s="470">
        <f>IF('Flow Indicator Parts List'!$D$2="CDN$",_xlfn.XLOOKUP(A1873,Prices!A:A,Prices!D:D),IF('Flow Indicator Parts List'!$D$2="US$",_xlfn.XLOOKUP(CurrencyModifier!A1873,Prices!A:A,Prices!E:E,"MISSING")))</f>
        <v>33.030999999999999</v>
      </c>
    </row>
    <row r="1874" spans="1:2">
      <c r="A1874" t="str">
        <f>Prices!A1880</f>
        <v>41832-00</v>
      </c>
      <c r="B1874" s="470">
        <f>IF('Flow Indicator Parts List'!$D$2="CDN$",_xlfn.XLOOKUP(A1874,Prices!A:A,Prices!D:D),IF('Flow Indicator Parts List'!$D$2="US$",_xlfn.XLOOKUP(CurrencyModifier!A1874,Prices!A:A,Prices!E:E,"MISSING")))</f>
        <v>21.768000000000001</v>
      </c>
    </row>
    <row r="1875" spans="1:2">
      <c r="A1875" t="str">
        <f>Prices!A1881</f>
        <v>41833-00</v>
      </c>
      <c r="B1875" s="470">
        <f>IF('Flow Indicator Parts List'!$D$2="CDN$",_xlfn.XLOOKUP(A1875,Prices!A:A,Prices!D:D),IF('Flow Indicator Parts List'!$D$2="US$",_xlfn.XLOOKUP(CurrencyModifier!A1875,Prices!A:A,Prices!E:E,"MISSING")))</f>
        <v>21.768000000000001</v>
      </c>
    </row>
    <row r="1876" spans="1:2">
      <c r="A1876" t="str">
        <f>Prices!A1882</f>
        <v>41834-00</v>
      </c>
      <c r="B1876" s="470">
        <f>IF('Flow Indicator Parts List'!$D$2="CDN$",_xlfn.XLOOKUP(A1876,Prices!A:A,Prices!D:D),IF('Flow Indicator Parts List'!$D$2="US$",_xlfn.XLOOKUP(CurrencyModifier!A1876,Prices!A:A,Prices!E:E,"MISSING")))</f>
        <v>21.768000000000001</v>
      </c>
    </row>
    <row r="1877" spans="1:2">
      <c r="A1877" t="str">
        <f>Prices!A1883</f>
        <v>41835-00</v>
      </c>
      <c r="B1877" s="470">
        <f>IF('Flow Indicator Parts List'!$D$2="CDN$",_xlfn.XLOOKUP(A1877,Prices!A:A,Prices!D:D),IF('Flow Indicator Parts List'!$D$2="US$",_xlfn.XLOOKUP(CurrencyModifier!A1877,Prices!A:A,Prices!E:E,"MISSING")))</f>
        <v>21.768000000000001</v>
      </c>
    </row>
    <row r="1878" spans="1:2">
      <c r="A1878" t="str">
        <f>Prices!A1884</f>
        <v>41835-23</v>
      </c>
      <c r="B1878" s="470">
        <f>IF('Flow Indicator Parts List'!$D$2="CDN$",_xlfn.XLOOKUP(A1878,Prices!A:A,Prices!D:D),IF('Flow Indicator Parts List'!$D$2="US$",_xlfn.XLOOKUP(CurrencyModifier!A1878,Prices!A:A,Prices!E:E,"MISSING")))</f>
        <v>21.768000000000001</v>
      </c>
    </row>
    <row r="1879" spans="1:2">
      <c r="A1879" t="str">
        <f>Prices!A1885</f>
        <v>41835-32</v>
      </c>
      <c r="B1879" s="470">
        <f>IF('Flow Indicator Parts List'!$D$2="CDN$",_xlfn.XLOOKUP(A1879,Prices!A:A,Prices!D:D),IF('Flow Indicator Parts List'!$D$2="US$",_xlfn.XLOOKUP(CurrencyModifier!A1879,Prices!A:A,Prices!E:E,"MISSING")))</f>
        <v>21.768000000000001</v>
      </c>
    </row>
    <row r="1880" spans="1:2">
      <c r="A1880" t="str">
        <f>Prices!A1886</f>
        <v>41836-00</v>
      </c>
      <c r="B1880" s="470">
        <f>IF('Flow Indicator Parts List'!$D$2="CDN$",_xlfn.XLOOKUP(A1880,Prices!A:A,Prices!D:D),IF('Flow Indicator Parts List'!$D$2="US$",_xlfn.XLOOKUP(CurrencyModifier!A1880,Prices!A:A,Prices!E:E,"MISSING")))</f>
        <v>25.335999999999999</v>
      </c>
    </row>
    <row r="1881" spans="1:2">
      <c r="A1881" t="str">
        <f>Prices!A1887</f>
        <v>41836-22</v>
      </c>
      <c r="B1881" s="470">
        <f>IF('Flow Indicator Parts List'!$D$2="CDN$",_xlfn.XLOOKUP(A1881,Prices!A:A,Prices!D:D),IF('Flow Indicator Parts List'!$D$2="US$",_xlfn.XLOOKUP(CurrencyModifier!A1881,Prices!A:A,Prices!E:E,"MISSING")))</f>
        <v>25.335999999999999</v>
      </c>
    </row>
    <row r="1882" spans="1:2">
      <c r="A1882" t="str">
        <f>Prices!A1888</f>
        <v>41842-00</v>
      </c>
      <c r="B1882" s="470">
        <f>IF('Flow Indicator Parts List'!$D$2="CDN$",_xlfn.XLOOKUP(A1882,Prices!A:A,Prices!D:D),IF('Flow Indicator Parts List'!$D$2="US$",_xlfn.XLOOKUP(CurrencyModifier!A1882,Prices!A:A,Prices!E:E,"MISSING")))</f>
        <v>33.139000000000003</v>
      </c>
    </row>
    <row r="1883" spans="1:2">
      <c r="A1883" t="str">
        <f>Prices!A1889</f>
        <v>41843-00</v>
      </c>
      <c r="B1883" s="470">
        <f>IF('Flow Indicator Parts List'!$D$2="CDN$",_xlfn.XLOOKUP(A1883,Prices!A:A,Prices!D:D),IF('Flow Indicator Parts List'!$D$2="US$",_xlfn.XLOOKUP(CurrencyModifier!A1883,Prices!A:A,Prices!E:E,"MISSING")))</f>
        <v>33.139000000000003</v>
      </c>
    </row>
    <row r="1884" spans="1:2">
      <c r="A1884" t="str">
        <f>Prices!A1890</f>
        <v>41844-00</v>
      </c>
      <c r="B1884" s="470">
        <f>IF('Flow Indicator Parts List'!$D$2="CDN$",_xlfn.XLOOKUP(A1884,Prices!A:A,Prices!D:D),IF('Flow Indicator Parts List'!$D$2="US$",_xlfn.XLOOKUP(CurrencyModifier!A1884,Prices!A:A,Prices!E:E,"MISSING")))</f>
        <v>33.139000000000003</v>
      </c>
    </row>
    <row r="1885" spans="1:2">
      <c r="A1885" t="str">
        <f>Prices!A1891</f>
        <v>41845-00</v>
      </c>
      <c r="B1885" s="470">
        <f>IF('Flow Indicator Parts List'!$D$2="CDN$",_xlfn.XLOOKUP(A1885,Prices!A:A,Prices!D:D),IF('Flow Indicator Parts List'!$D$2="US$",_xlfn.XLOOKUP(CurrencyModifier!A1885,Prices!A:A,Prices!E:E,"MISSING")))</f>
        <v>33.139000000000003</v>
      </c>
    </row>
    <row r="1886" spans="1:2">
      <c r="A1886" t="str">
        <f>Prices!A1892</f>
        <v>41846-00</v>
      </c>
      <c r="B1886" s="470">
        <f>IF('Flow Indicator Parts List'!$D$2="CDN$",_xlfn.XLOOKUP(A1886,Prices!A:A,Prices!D:D),IF('Flow Indicator Parts List'!$D$2="US$",_xlfn.XLOOKUP(CurrencyModifier!A1886,Prices!A:A,Prices!E:E,"MISSING")))</f>
        <v>36.707000000000001</v>
      </c>
    </row>
    <row r="1887" spans="1:2">
      <c r="A1887" t="str">
        <f>Prices!A1893</f>
        <v>43550-01</v>
      </c>
      <c r="B1887" s="470">
        <f>IF('Flow Indicator Parts List'!$D$2="CDN$",_xlfn.XLOOKUP(A1887,Prices!A:A,Prices!D:D),IF('Flow Indicator Parts List'!$D$2="US$",_xlfn.XLOOKUP(CurrencyModifier!A1887,Prices!A:A,Prices!E:E,"MISSING")))</f>
        <v>0</v>
      </c>
    </row>
    <row r="1888" spans="1:2">
      <c r="A1888" t="str">
        <f>Prices!A1894</f>
        <v>50102-BLU</v>
      </c>
      <c r="B1888" s="470">
        <f>IF('Flow Indicator Parts List'!$D$2="CDN$",_xlfn.XLOOKUP(A1888,Prices!A:A,Prices!D:D),IF('Flow Indicator Parts List'!$D$2="US$",_xlfn.XLOOKUP(CurrencyModifier!A1888,Prices!A:A,Prices!E:E,"MISSING")))</f>
        <v>14.492000000000001</v>
      </c>
    </row>
    <row r="1889" spans="1:2">
      <c r="A1889" t="str">
        <f>Prices!A1895</f>
        <v>50102-RED</v>
      </c>
      <c r="B1889" s="470">
        <f>IF('Flow Indicator Parts List'!$D$2="CDN$",_xlfn.XLOOKUP(A1889,Prices!A:A,Prices!D:D),IF('Flow Indicator Parts List'!$D$2="US$",_xlfn.XLOOKUP(CurrencyModifier!A1889,Prices!A:A,Prices!E:E,"MISSING")))</f>
        <v>14.492000000000001</v>
      </c>
    </row>
    <row r="1890" spans="1:2">
      <c r="A1890" t="str">
        <f>Prices!A1896</f>
        <v>50103-BLU</v>
      </c>
      <c r="B1890" s="470">
        <f>IF('Flow Indicator Parts List'!$D$2="CDN$",_xlfn.XLOOKUP(A1890,Prices!A:A,Prices!D:D),IF('Flow Indicator Parts List'!$D$2="US$",_xlfn.XLOOKUP(CurrencyModifier!A1890,Prices!A:A,Prices!E:E,"MISSING")))</f>
        <v>13.457000000000001</v>
      </c>
    </row>
    <row r="1891" spans="1:2">
      <c r="A1891" t="str">
        <f>Prices!A1897</f>
        <v>50103-RED</v>
      </c>
      <c r="B1891" s="470">
        <f>IF('Flow Indicator Parts List'!$D$2="CDN$",_xlfn.XLOOKUP(A1891,Prices!A:A,Prices!D:D),IF('Flow Indicator Parts List'!$D$2="US$",_xlfn.XLOOKUP(CurrencyModifier!A1891,Prices!A:A,Prices!E:E,"MISSING")))</f>
        <v>13.457000000000001</v>
      </c>
    </row>
    <row r="1892" spans="1:2">
      <c r="A1892" t="str">
        <f>Prices!A1898</f>
        <v>50117-00</v>
      </c>
      <c r="B1892" s="470">
        <f>IF('Flow Indicator Parts List'!$D$2="CDN$",_xlfn.XLOOKUP(A1892,Prices!A:A,Prices!D:D),IF('Flow Indicator Parts List'!$D$2="US$",_xlfn.XLOOKUP(CurrencyModifier!A1892,Prices!A:A,Prices!E:E,"MISSING")))</f>
        <v>43.57</v>
      </c>
    </row>
    <row r="1893" spans="1:2">
      <c r="A1893" t="str">
        <f>Prices!A1899</f>
        <v>50530-04</v>
      </c>
      <c r="B1893" s="470">
        <f>IF('Flow Indicator Parts List'!$D$2="CDN$",_xlfn.XLOOKUP(A1893,Prices!A:A,Prices!D:D),IF('Flow Indicator Parts List'!$D$2="US$",_xlfn.XLOOKUP(CurrencyModifier!A1893,Prices!A:A,Prices!E:E,"MISSING")))</f>
        <v>48.578000000000003</v>
      </c>
    </row>
    <row r="1894" spans="1:2">
      <c r="A1894" t="str">
        <f>Prices!A1900</f>
        <v>50530-10</v>
      </c>
      <c r="B1894" s="470">
        <f>IF('Flow Indicator Parts List'!$D$2="CDN$",_xlfn.XLOOKUP(A1894,Prices!A:A,Prices!D:D),IF('Flow Indicator Parts List'!$D$2="US$",_xlfn.XLOOKUP(CurrencyModifier!A1894,Prices!A:A,Prices!E:E,"MISSING")))</f>
        <v>121.44499999999999</v>
      </c>
    </row>
    <row r="1895" spans="1:2">
      <c r="A1895" t="str">
        <f>Prices!A1901</f>
        <v>51204-03</v>
      </c>
      <c r="B1895" s="470">
        <f>IF('Flow Indicator Parts List'!$D$2="CDN$",_xlfn.XLOOKUP(A1895,Prices!A:A,Prices!D:D),IF('Flow Indicator Parts List'!$D$2="US$",_xlfn.XLOOKUP(CurrencyModifier!A1895,Prices!A:A,Prices!E:E,"MISSING")))</f>
        <v>0.372</v>
      </c>
    </row>
    <row r="1896" spans="1:2">
      <c r="A1896" t="str">
        <f>Prices!A1902</f>
        <v>51204-04</v>
      </c>
      <c r="B1896" s="470">
        <f>IF('Flow Indicator Parts List'!$D$2="CDN$",_xlfn.XLOOKUP(A1896,Prices!A:A,Prices!D:D),IF('Flow Indicator Parts List'!$D$2="US$",_xlfn.XLOOKUP(CurrencyModifier!A1896,Prices!A:A,Prices!E:E,"MISSING")))</f>
        <v>0.313</v>
      </c>
    </row>
    <row r="1897" spans="1:2">
      <c r="A1897" t="str">
        <f>Prices!A1903</f>
        <v>51208-00</v>
      </c>
      <c r="B1897" s="470">
        <f>IF('Flow Indicator Parts List'!$D$2="CDN$",_xlfn.XLOOKUP(A1897,Prices!A:A,Prices!D:D),IF('Flow Indicator Parts List'!$D$2="US$",_xlfn.XLOOKUP(CurrencyModifier!A1897,Prices!A:A,Prices!E:E,"MISSING")))</f>
        <v>16.312999999999999</v>
      </c>
    </row>
    <row r="1898" spans="1:2">
      <c r="A1898" t="str">
        <f>Prices!A1904</f>
        <v>51335-00</v>
      </c>
      <c r="B1898" s="470">
        <f>IF('Flow Indicator Parts List'!$D$2="CDN$",_xlfn.XLOOKUP(A1898,Prices!A:A,Prices!D:D),IF('Flow Indicator Parts List'!$D$2="US$",_xlfn.XLOOKUP(CurrencyModifier!A1898,Prices!A:A,Prices!E:E,"MISSING")))</f>
        <v>9.74</v>
      </c>
    </row>
    <row r="1899" spans="1:2">
      <c r="A1899" t="str">
        <f>Prices!A1905</f>
        <v>51335-01</v>
      </c>
      <c r="B1899" s="470">
        <f>IF('Flow Indicator Parts List'!$D$2="CDN$",_xlfn.XLOOKUP(A1899,Prices!A:A,Prices!D:D),IF('Flow Indicator Parts List'!$D$2="US$",_xlfn.XLOOKUP(CurrencyModifier!A1899,Prices!A:A,Prices!E:E,"MISSING")))</f>
        <v>1.675</v>
      </c>
    </row>
    <row r="1900" spans="1:2">
      <c r="A1900" t="str">
        <f>Prices!A1906</f>
        <v>70154-01</v>
      </c>
      <c r="B1900" s="470">
        <f>IF('Flow Indicator Parts List'!$D$2="CDN$",_xlfn.XLOOKUP(A1900,Prices!A:A,Prices!D:D),IF('Flow Indicator Parts List'!$D$2="US$",_xlfn.XLOOKUP(CurrencyModifier!A1900,Prices!A:A,Prices!E:E,"MISSING")))</f>
        <v>165.251</v>
      </c>
    </row>
    <row r="1901" spans="1:2">
      <c r="A1901" t="str">
        <f>Prices!A1907</f>
        <v>70154-03</v>
      </c>
      <c r="B1901" s="470">
        <f>IF('Flow Indicator Parts List'!$D$2="CDN$",_xlfn.XLOOKUP(A1901,Prices!A:A,Prices!D:D),IF('Flow Indicator Parts List'!$D$2="US$",_xlfn.XLOOKUP(CurrencyModifier!A1901,Prices!A:A,Prices!E:E,"MISSING")))</f>
        <v>165.251</v>
      </c>
    </row>
    <row r="1902" spans="1:2">
      <c r="A1902" t="str">
        <f>Prices!A1908</f>
        <v>70154-06</v>
      </c>
      <c r="B1902" s="470">
        <f>IF('Flow Indicator Parts List'!$D$2="CDN$",_xlfn.XLOOKUP(A1902,Prices!A:A,Prices!D:D),IF('Flow Indicator Parts List'!$D$2="US$",_xlfn.XLOOKUP(CurrencyModifier!A1902,Prices!A:A,Prices!E:E,"MISSING")))</f>
        <v>165.251</v>
      </c>
    </row>
    <row r="1903" spans="1:2">
      <c r="A1903" t="str">
        <f>Prices!A1909</f>
        <v>70154-V1</v>
      </c>
      <c r="B1903" s="470">
        <f>IF('Flow Indicator Parts List'!$D$2="CDN$",_xlfn.XLOOKUP(A1903,Prices!A:A,Prices!D:D),IF('Flow Indicator Parts List'!$D$2="US$",_xlfn.XLOOKUP(CurrencyModifier!A1903,Prices!A:A,Prices!E:E,"MISSING")))</f>
        <v>194.804</v>
      </c>
    </row>
    <row r="1904" spans="1:2">
      <c r="A1904" t="str">
        <f>Prices!A1910</f>
        <v>70154-V3</v>
      </c>
      <c r="B1904" s="470">
        <f>IF('Flow Indicator Parts List'!$D$2="CDN$",_xlfn.XLOOKUP(A1904,Prices!A:A,Prices!D:D),IF('Flow Indicator Parts List'!$D$2="US$",_xlfn.XLOOKUP(CurrencyModifier!A1904,Prices!A:A,Prices!E:E,"MISSING")))</f>
        <v>194.804</v>
      </c>
    </row>
    <row r="1905" spans="1:2">
      <c r="A1905" t="str">
        <f>Prices!A1911</f>
        <v>70154-V6</v>
      </c>
      <c r="B1905" s="470">
        <f>IF('Flow Indicator Parts List'!$D$2="CDN$",_xlfn.XLOOKUP(A1905,Prices!A:A,Prices!D:D),IF('Flow Indicator Parts List'!$D$2="US$",_xlfn.XLOOKUP(CurrencyModifier!A1905,Prices!A:A,Prices!E:E,"MISSING")))</f>
        <v>194.804</v>
      </c>
    </row>
    <row r="1906" spans="1:2">
      <c r="A1906" t="str">
        <f>Prices!A1912</f>
        <v>70155-02</v>
      </c>
      <c r="B1906" s="470">
        <f>IF('Flow Indicator Parts List'!$D$2="CDN$",_xlfn.XLOOKUP(A1906,Prices!A:A,Prices!D:D),IF('Flow Indicator Parts List'!$D$2="US$",_xlfn.XLOOKUP(CurrencyModifier!A1906,Prices!A:A,Prices!E:E,"MISSING")))</f>
        <v>264.16899999999998</v>
      </c>
    </row>
    <row r="1907" spans="1:2">
      <c r="A1907" t="str">
        <f>Prices!A1913</f>
        <v>70155-03</v>
      </c>
      <c r="B1907" s="470">
        <f>IF('Flow Indicator Parts List'!$D$2="CDN$",_xlfn.XLOOKUP(A1907,Prices!A:A,Prices!D:D),IF('Flow Indicator Parts List'!$D$2="US$",_xlfn.XLOOKUP(CurrencyModifier!A1907,Prices!A:A,Prices!E:E,"MISSING")))</f>
        <v>264.16899999999998</v>
      </c>
    </row>
    <row r="1908" spans="1:2">
      <c r="A1908" t="str">
        <f>Prices!A1914</f>
        <v>70155-06</v>
      </c>
      <c r="B1908" s="470">
        <f>IF('Flow Indicator Parts List'!$D$2="CDN$",_xlfn.XLOOKUP(A1908,Prices!A:A,Prices!D:D),IF('Flow Indicator Parts List'!$D$2="US$",_xlfn.XLOOKUP(CurrencyModifier!A1908,Prices!A:A,Prices!E:E,"MISSING")))</f>
        <v>264.16899999999998</v>
      </c>
    </row>
    <row r="1909" spans="1:2">
      <c r="A1909" t="str">
        <f>Prices!A1915</f>
        <v>70155-12</v>
      </c>
      <c r="B1909" s="470">
        <f>IF('Flow Indicator Parts List'!$D$2="CDN$",_xlfn.XLOOKUP(A1909,Prices!A:A,Prices!D:D),IF('Flow Indicator Parts List'!$D$2="US$",_xlfn.XLOOKUP(CurrencyModifier!A1909,Prices!A:A,Prices!E:E,"MISSING")))</f>
        <v>264.16899999999998</v>
      </c>
    </row>
    <row r="1910" spans="1:2">
      <c r="A1910" t="str">
        <f>Prices!A1916</f>
        <v>70155-V12</v>
      </c>
      <c r="B1910" s="470">
        <f>IF('Flow Indicator Parts List'!$D$2="CDN$",_xlfn.XLOOKUP(A1910,Prices!A:A,Prices!D:D),IF('Flow Indicator Parts List'!$D$2="US$",_xlfn.XLOOKUP(CurrencyModifier!A1910,Prices!A:A,Prices!E:E,"MISSING")))</f>
        <v>316.08800000000002</v>
      </c>
    </row>
    <row r="1911" spans="1:2">
      <c r="A1911" t="str">
        <f>Prices!A1917</f>
        <v>70155-V2</v>
      </c>
      <c r="B1911" s="470">
        <f>IF('Flow Indicator Parts List'!$D$2="CDN$",_xlfn.XLOOKUP(A1911,Prices!A:A,Prices!D:D),IF('Flow Indicator Parts List'!$D$2="US$",_xlfn.XLOOKUP(CurrencyModifier!A1911,Prices!A:A,Prices!E:E,"MISSING")))</f>
        <v>316.08800000000002</v>
      </c>
    </row>
    <row r="1912" spans="1:2">
      <c r="A1912" t="str">
        <f>Prices!A1918</f>
        <v>70155-V3</v>
      </c>
      <c r="B1912" s="470">
        <f>IF('Flow Indicator Parts List'!$D$2="CDN$",_xlfn.XLOOKUP(A1912,Prices!A:A,Prices!D:D),IF('Flow Indicator Parts List'!$D$2="US$",_xlfn.XLOOKUP(CurrencyModifier!A1912,Prices!A:A,Prices!E:E,"MISSING")))</f>
        <v>316.08800000000002</v>
      </c>
    </row>
    <row r="1913" spans="1:2">
      <c r="A1913" t="str">
        <f>Prices!A1919</f>
        <v>70155-V6</v>
      </c>
      <c r="B1913" s="470">
        <f>IF('Flow Indicator Parts List'!$D$2="CDN$",_xlfn.XLOOKUP(A1913,Prices!A:A,Prices!D:D),IF('Flow Indicator Parts List'!$D$2="US$",_xlfn.XLOOKUP(CurrencyModifier!A1913,Prices!A:A,Prices!E:E,"MISSING")))</f>
        <v>316.08800000000002</v>
      </c>
    </row>
    <row r="1914" spans="1:2">
      <c r="A1914" t="str">
        <f>Prices!A1920</f>
        <v>70156-04</v>
      </c>
      <c r="B1914" s="470">
        <f>IF('Flow Indicator Parts List'!$D$2="CDN$",_xlfn.XLOOKUP(A1914,Prices!A:A,Prices!D:D),IF('Flow Indicator Parts List'!$D$2="US$",_xlfn.XLOOKUP(CurrencyModifier!A1914,Prices!A:A,Prices!E:E,"MISSING")))</f>
        <v>364.83300000000003</v>
      </c>
    </row>
    <row r="1915" spans="1:2">
      <c r="A1915" t="str">
        <f>Prices!A1921</f>
        <v>70156-05</v>
      </c>
      <c r="B1915" s="470">
        <f>IF('Flow Indicator Parts List'!$D$2="CDN$",_xlfn.XLOOKUP(A1915,Prices!A:A,Prices!D:D),IF('Flow Indicator Parts List'!$D$2="US$",_xlfn.XLOOKUP(CurrencyModifier!A1915,Prices!A:A,Prices!E:E,"MISSING")))</f>
        <v>364.83300000000003</v>
      </c>
    </row>
    <row r="1916" spans="1:2">
      <c r="A1916" t="str">
        <f>Prices!A1922</f>
        <v>70156-10</v>
      </c>
      <c r="B1916" s="470">
        <f>IF('Flow Indicator Parts List'!$D$2="CDN$",_xlfn.XLOOKUP(A1916,Prices!A:A,Prices!D:D),IF('Flow Indicator Parts List'!$D$2="US$",_xlfn.XLOOKUP(CurrencyModifier!A1916,Prices!A:A,Prices!E:E,"MISSING")))</f>
        <v>364.83300000000003</v>
      </c>
    </row>
    <row r="1917" spans="1:2">
      <c r="A1917" t="str">
        <f>Prices!A1923</f>
        <v>70156-20</v>
      </c>
      <c r="B1917" s="470">
        <f>IF('Flow Indicator Parts List'!$D$2="CDN$",_xlfn.XLOOKUP(A1917,Prices!A:A,Prices!D:D),IF('Flow Indicator Parts List'!$D$2="US$",_xlfn.XLOOKUP(CurrencyModifier!A1917,Prices!A:A,Prices!E:E,"MISSING")))</f>
        <v>364.83300000000003</v>
      </c>
    </row>
    <row r="1918" spans="1:2">
      <c r="A1918" t="str">
        <f>Prices!A1924</f>
        <v>70156-V10</v>
      </c>
      <c r="B1918" s="470">
        <f>IF('Flow Indicator Parts List'!$D$2="CDN$",_xlfn.XLOOKUP(A1918,Prices!A:A,Prices!D:D),IF('Flow Indicator Parts List'!$D$2="US$",_xlfn.XLOOKUP(CurrencyModifier!A1918,Prices!A:A,Prices!E:E,"MISSING")))</f>
        <v>436.60700000000003</v>
      </c>
    </row>
    <row r="1919" spans="1:2">
      <c r="A1919" t="str">
        <f>Prices!A1925</f>
        <v>70156-V20</v>
      </c>
      <c r="B1919" s="470">
        <f>IF('Flow Indicator Parts List'!$D$2="CDN$",_xlfn.XLOOKUP(A1919,Prices!A:A,Prices!D:D),IF('Flow Indicator Parts List'!$D$2="US$",_xlfn.XLOOKUP(CurrencyModifier!A1919,Prices!A:A,Prices!E:E,"MISSING")))</f>
        <v>436.60700000000003</v>
      </c>
    </row>
    <row r="1920" spans="1:2">
      <c r="A1920" t="str">
        <f>Prices!A1926</f>
        <v>70156-V4</v>
      </c>
      <c r="B1920" s="470">
        <f>IF('Flow Indicator Parts List'!$D$2="CDN$",_xlfn.XLOOKUP(A1920,Prices!A:A,Prices!D:D),IF('Flow Indicator Parts List'!$D$2="US$",_xlfn.XLOOKUP(CurrencyModifier!A1920,Prices!A:A,Prices!E:E,"MISSING")))</f>
        <v>436.60700000000003</v>
      </c>
    </row>
    <row r="1921" spans="1:2">
      <c r="A1921" t="str">
        <f>Prices!A1927</f>
        <v>70156-V5</v>
      </c>
      <c r="B1921" s="470">
        <f>IF('Flow Indicator Parts List'!$D$2="CDN$",_xlfn.XLOOKUP(A1921,Prices!A:A,Prices!D:D),IF('Flow Indicator Parts List'!$D$2="US$",_xlfn.XLOOKUP(CurrencyModifier!A1921,Prices!A:A,Prices!E:E,"MISSING")))</f>
        <v>436.60700000000003</v>
      </c>
    </row>
    <row r="1922" spans="1:2">
      <c r="A1922">
        <f>Prices!A1928</f>
        <v>0</v>
      </c>
      <c r="B1922" s="470" t="e">
        <f>IF('Flow Indicator Parts List'!$D$2="CDN$",_xlfn.XLOOKUP(A1922,Prices!A:A,Prices!D:D),IF('Flow Indicator Parts List'!$D$2="US$",_xlfn.XLOOKUP(CurrencyModifier!A1922,Prices!A:A,Prices!E:E,"MISSING")))</f>
        <v>#N/A</v>
      </c>
    </row>
    <row r="1923" spans="1:2">
      <c r="A1923">
        <f>Prices!A1929</f>
        <v>0</v>
      </c>
      <c r="B1923" s="470" t="e">
        <f>IF('Flow Indicator Parts List'!$D$2="CDN$",_xlfn.XLOOKUP(A1923,Prices!A:A,Prices!D:D),IF('Flow Indicator Parts List'!$D$2="US$",_xlfn.XLOOKUP(CurrencyModifier!A1923,Prices!A:A,Prices!E:E,"MISSING")))</f>
        <v>#N/A</v>
      </c>
    </row>
    <row r="1924" spans="1:2">
      <c r="A1924">
        <f>Prices!A1930</f>
        <v>0</v>
      </c>
      <c r="B1924" s="470" t="e">
        <f>IF('Flow Indicator Parts List'!$D$2="CDN$",_xlfn.XLOOKUP(A1924,Prices!A:A,Prices!D:D),IF('Flow Indicator Parts List'!$D$2="US$",_xlfn.XLOOKUP(CurrencyModifier!A1924,Prices!A:A,Prices!E:E,"MISSING")))</f>
        <v>#N/A</v>
      </c>
    </row>
    <row r="1925" spans="1:2">
      <c r="A1925">
        <f>Prices!A1931</f>
        <v>0</v>
      </c>
      <c r="B1925" s="470" t="e">
        <f>IF('Flow Indicator Parts List'!$D$2="CDN$",_xlfn.XLOOKUP(A1925,Prices!A:A,Prices!D:D),IF('Flow Indicator Parts List'!$D$2="US$",_xlfn.XLOOKUP(CurrencyModifier!A1925,Prices!A:A,Prices!E:E,"MISSING")))</f>
        <v>#N/A</v>
      </c>
    </row>
    <row r="1926" spans="1:2">
      <c r="A1926">
        <f>Prices!A1932</f>
        <v>0</v>
      </c>
      <c r="B1926" s="470" t="e">
        <f>IF('Flow Indicator Parts List'!$D$2="CDN$",_xlfn.XLOOKUP(A1926,Prices!A:A,Prices!D:D),IF('Flow Indicator Parts List'!$D$2="US$",_xlfn.XLOOKUP(CurrencyModifier!A1926,Prices!A:A,Prices!E:E,"MISSING")))</f>
        <v>#N/A</v>
      </c>
    </row>
    <row r="1927" spans="1:2">
      <c r="A1927">
        <f>Prices!A1933</f>
        <v>0</v>
      </c>
      <c r="B1927" s="470" t="e">
        <f>IF('Flow Indicator Parts List'!$D$2="CDN$",_xlfn.XLOOKUP(A1927,Prices!A:A,Prices!D:D),IF('Flow Indicator Parts List'!$D$2="US$",_xlfn.XLOOKUP(CurrencyModifier!A1927,Prices!A:A,Prices!E:E,"MISSING")))</f>
        <v>#N/A</v>
      </c>
    </row>
    <row r="1928" spans="1:2">
      <c r="A1928">
        <f>Prices!A1934</f>
        <v>0</v>
      </c>
      <c r="B1928" s="470" t="e">
        <f>IF('Flow Indicator Parts List'!$D$2="CDN$",_xlfn.XLOOKUP(A1928,Prices!A:A,Prices!D:D),IF('Flow Indicator Parts List'!$D$2="US$",_xlfn.XLOOKUP(CurrencyModifier!A1928,Prices!A:A,Prices!E:E,"MISSING")))</f>
        <v>#N/A</v>
      </c>
    </row>
    <row r="1929" spans="1:2">
      <c r="A1929">
        <f>Prices!A1935</f>
        <v>0</v>
      </c>
      <c r="B1929" s="470" t="e">
        <f>IF('Flow Indicator Parts List'!$D$2="CDN$",_xlfn.XLOOKUP(A1929,Prices!A:A,Prices!D:D),IF('Flow Indicator Parts List'!$D$2="US$",_xlfn.XLOOKUP(CurrencyModifier!A1929,Prices!A:A,Prices!E:E,"MISSING")))</f>
        <v>#N/A</v>
      </c>
    </row>
    <row r="1930" spans="1:2">
      <c r="A1930">
        <f>Prices!A1936</f>
        <v>0</v>
      </c>
      <c r="B1930" s="470" t="e">
        <f>IF('Flow Indicator Parts List'!$D$2="CDN$",_xlfn.XLOOKUP(A1930,Prices!A:A,Prices!D:D),IF('Flow Indicator Parts List'!$D$2="US$",_xlfn.XLOOKUP(CurrencyModifier!A1930,Prices!A:A,Prices!E:E,"MISSING")))</f>
        <v>#N/A</v>
      </c>
    </row>
    <row r="1931" spans="1:2">
      <c r="A1931">
        <f>Prices!A1937</f>
        <v>0</v>
      </c>
      <c r="B1931" s="470" t="e">
        <f>IF('Flow Indicator Parts List'!$D$2="CDN$",_xlfn.XLOOKUP(A1931,Prices!A:A,Prices!D:D),IF('Flow Indicator Parts List'!$D$2="US$",_xlfn.XLOOKUP(CurrencyModifier!A1931,Prices!A:A,Prices!E:E,"MISSING")))</f>
        <v>#N/A</v>
      </c>
    </row>
    <row r="1932" spans="1:2">
      <c r="A1932">
        <f>Prices!A1938</f>
        <v>0</v>
      </c>
      <c r="B1932" s="470" t="e">
        <f>IF('Flow Indicator Parts List'!$D$2="CDN$",_xlfn.XLOOKUP(A1932,Prices!A:A,Prices!D:D),IF('Flow Indicator Parts List'!$D$2="US$",_xlfn.XLOOKUP(CurrencyModifier!A1932,Prices!A:A,Prices!E:E,"MISSING")))</f>
        <v>#N/A</v>
      </c>
    </row>
    <row r="1933" spans="1:2">
      <c r="A1933">
        <f>Prices!A1939</f>
        <v>0</v>
      </c>
      <c r="B1933" s="470" t="e">
        <f>IF('Flow Indicator Parts List'!$D$2="CDN$",_xlfn.XLOOKUP(A1933,Prices!A:A,Prices!D:D),IF('Flow Indicator Parts List'!$D$2="US$",_xlfn.XLOOKUP(CurrencyModifier!A1933,Prices!A:A,Prices!E:E,"MISSING")))</f>
        <v>#N/A</v>
      </c>
    </row>
    <row r="1934" spans="1:2">
      <c r="A1934">
        <f>Prices!A1940</f>
        <v>0</v>
      </c>
      <c r="B1934" s="470" t="e">
        <f>IF('Flow Indicator Parts List'!$D$2="CDN$",_xlfn.XLOOKUP(A1934,Prices!A:A,Prices!D:D),IF('Flow Indicator Parts List'!$D$2="US$",_xlfn.XLOOKUP(CurrencyModifier!A1934,Prices!A:A,Prices!E:E,"MISSING")))</f>
        <v>#N/A</v>
      </c>
    </row>
    <row r="1935" spans="1:2">
      <c r="A1935">
        <f>Prices!A1941</f>
        <v>0</v>
      </c>
      <c r="B1935" s="470" t="e">
        <f>IF('Flow Indicator Parts List'!$D$2="CDN$",_xlfn.XLOOKUP(A1935,Prices!A:A,Prices!D:D),IF('Flow Indicator Parts List'!$D$2="US$",_xlfn.XLOOKUP(CurrencyModifier!A1935,Prices!A:A,Prices!E:E,"MISSING")))</f>
        <v>#N/A</v>
      </c>
    </row>
    <row r="1936" spans="1:2">
      <c r="A1936">
        <f>Prices!A1942</f>
        <v>0</v>
      </c>
      <c r="B1936" s="470" t="e">
        <f>IF('Flow Indicator Parts List'!$D$2="CDN$",_xlfn.XLOOKUP(A1936,Prices!A:A,Prices!D:D),IF('Flow Indicator Parts List'!$D$2="US$",_xlfn.XLOOKUP(CurrencyModifier!A1936,Prices!A:A,Prices!E:E,"MISSING")))</f>
        <v>#N/A</v>
      </c>
    </row>
    <row r="1937" spans="1:2">
      <c r="A1937">
        <f>Prices!A1943</f>
        <v>0</v>
      </c>
      <c r="B1937" s="470" t="e">
        <f>IF('Flow Indicator Parts List'!$D$2="CDN$",_xlfn.XLOOKUP(A1937,Prices!A:A,Prices!D:D),IF('Flow Indicator Parts List'!$D$2="US$",_xlfn.XLOOKUP(CurrencyModifier!A1937,Prices!A:A,Prices!E:E,"MISSING")))</f>
        <v>#N/A</v>
      </c>
    </row>
    <row r="1938" spans="1:2">
      <c r="A1938">
        <f>Prices!A1944</f>
        <v>0</v>
      </c>
      <c r="B1938" s="470" t="e">
        <f>IF('Flow Indicator Parts List'!$D$2="CDN$",_xlfn.XLOOKUP(A1938,Prices!A:A,Prices!D:D),IF('Flow Indicator Parts List'!$D$2="US$",_xlfn.XLOOKUP(CurrencyModifier!A1938,Prices!A:A,Prices!E:E,"MISSING")))</f>
        <v>#N/A</v>
      </c>
    </row>
    <row r="1939" spans="1:2">
      <c r="A1939">
        <f>Prices!A1945</f>
        <v>0</v>
      </c>
      <c r="B1939" s="470" t="e">
        <f>IF('Flow Indicator Parts List'!$D$2="CDN$",_xlfn.XLOOKUP(A1939,Prices!A:A,Prices!D:D),IF('Flow Indicator Parts List'!$D$2="US$",_xlfn.XLOOKUP(CurrencyModifier!A1939,Prices!A:A,Prices!E:E,"MISSING")))</f>
        <v>#N/A</v>
      </c>
    </row>
    <row r="1940" spans="1:2">
      <c r="A1940">
        <f>Prices!A1946</f>
        <v>0</v>
      </c>
      <c r="B1940" s="470" t="e">
        <f>IF('Flow Indicator Parts List'!$D$2="CDN$",_xlfn.XLOOKUP(A1940,Prices!A:A,Prices!D:D),IF('Flow Indicator Parts List'!$D$2="US$",_xlfn.XLOOKUP(CurrencyModifier!A1940,Prices!A:A,Prices!E:E,"MISSING")))</f>
        <v>#N/A</v>
      </c>
    </row>
    <row r="1941" spans="1:2">
      <c r="A1941">
        <f>Prices!A1947</f>
        <v>0</v>
      </c>
      <c r="B1941" s="470" t="e">
        <f>IF('Flow Indicator Parts List'!$D$2="CDN$",_xlfn.XLOOKUP(A1941,Prices!A:A,Prices!D:D),IF('Flow Indicator Parts List'!$D$2="US$",_xlfn.XLOOKUP(CurrencyModifier!A1941,Prices!A:A,Prices!E:E,"MISSING")))</f>
        <v>#N/A</v>
      </c>
    </row>
    <row r="1942" spans="1:2">
      <c r="A1942">
        <f>Prices!A1948</f>
        <v>0</v>
      </c>
      <c r="B1942" s="470" t="e">
        <f>IF('Flow Indicator Parts List'!$D$2="CDN$",_xlfn.XLOOKUP(A1942,Prices!A:A,Prices!D:D),IF('Flow Indicator Parts List'!$D$2="US$",_xlfn.XLOOKUP(CurrencyModifier!A1942,Prices!A:A,Prices!E:E,"MISSING")))</f>
        <v>#N/A</v>
      </c>
    </row>
    <row r="1943" spans="1:2">
      <c r="A1943">
        <f>Prices!A1949</f>
        <v>0</v>
      </c>
      <c r="B1943" s="470" t="e">
        <f>IF('Flow Indicator Parts List'!$D$2="CDN$",_xlfn.XLOOKUP(A1943,Prices!A:A,Prices!D:D),IF('Flow Indicator Parts List'!$D$2="US$",_xlfn.XLOOKUP(CurrencyModifier!A1943,Prices!A:A,Prices!E:E,"MISSING")))</f>
        <v>#N/A</v>
      </c>
    </row>
    <row r="1944" spans="1:2">
      <c r="A1944">
        <f>Prices!A1950</f>
        <v>0</v>
      </c>
      <c r="B1944" s="470" t="e">
        <f>IF('Flow Indicator Parts List'!$D$2="CDN$",_xlfn.XLOOKUP(A1944,Prices!A:A,Prices!D:D),IF('Flow Indicator Parts List'!$D$2="US$",_xlfn.XLOOKUP(CurrencyModifier!A1944,Prices!A:A,Prices!E:E,"MISSING")))</f>
        <v>#N/A</v>
      </c>
    </row>
    <row r="1945" spans="1:2">
      <c r="A1945">
        <f>Prices!A1951</f>
        <v>0</v>
      </c>
      <c r="B1945" s="470" t="e">
        <f>IF('Flow Indicator Parts List'!$D$2="CDN$",_xlfn.XLOOKUP(A1945,Prices!A:A,Prices!D:D),IF('Flow Indicator Parts List'!$D$2="US$",_xlfn.XLOOKUP(CurrencyModifier!A1945,Prices!A:A,Prices!E:E,"MISSING")))</f>
        <v>#N/A</v>
      </c>
    </row>
    <row r="1946" spans="1:2">
      <c r="A1946">
        <f>Prices!A1952</f>
        <v>0</v>
      </c>
      <c r="B1946" s="470" t="e">
        <f>IF('Flow Indicator Parts List'!$D$2="CDN$",_xlfn.XLOOKUP(A1946,Prices!A:A,Prices!D:D),IF('Flow Indicator Parts List'!$D$2="US$",_xlfn.XLOOKUP(CurrencyModifier!A1946,Prices!A:A,Prices!E:E,"MISSING")))</f>
        <v>#N/A</v>
      </c>
    </row>
    <row r="1947" spans="1:2">
      <c r="A1947">
        <f>Prices!A1953</f>
        <v>0</v>
      </c>
      <c r="B1947" s="470" t="e">
        <f>IF('Flow Indicator Parts List'!$D$2="CDN$",_xlfn.XLOOKUP(A1947,Prices!A:A,Prices!D:D),IF('Flow Indicator Parts List'!$D$2="US$",_xlfn.XLOOKUP(CurrencyModifier!A1947,Prices!A:A,Prices!E:E,"MISSING")))</f>
        <v>#N/A</v>
      </c>
    </row>
    <row r="1948" spans="1:2">
      <c r="A1948">
        <f>Prices!A1954</f>
        <v>0</v>
      </c>
      <c r="B1948" s="470" t="e">
        <f>IF('Flow Indicator Parts List'!$D$2="CDN$",_xlfn.XLOOKUP(A1948,Prices!A:A,Prices!D:D),IF('Flow Indicator Parts List'!$D$2="US$",_xlfn.XLOOKUP(CurrencyModifier!A1948,Prices!A:A,Prices!E:E,"MISSING")))</f>
        <v>#N/A</v>
      </c>
    </row>
    <row r="1949" spans="1:2">
      <c r="A1949">
        <f>Prices!A1955</f>
        <v>0</v>
      </c>
      <c r="B1949" s="470" t="e">
        <f>IF('Flow Indicator Parts List'!$D$2="CDN$",_xlfn.XLOOKUP(A1949,Prices!A:A,Prices!D:D),IF('Flow Indicator Parts List'!$D$2="US$",_xlfn.XLOOKUP(CurrencyModifier!A1949,Prices!A:A,Prices!E:E,"MISSING")))</f>
        <v>#N/A</v>
      </c>
    </row>
    <row r="1950" spans="1:2">
      <c r="A1950">
        <f>Prices!A1956</f>
        <v>0</v>
      </c>
      <c r="B1950" s="470" t="e">
        <f>IF('Flow Indicator Parts List'!$D$2="CDN$",_xlfn.XLOOKUP(A1950,Prices!A:A,Prices!D:D),IF('Flow Indicator Parts List'!$D$2="US$",_xlfn.XLOOKUP(CurrencyModifier!A1950,Prices!A:A,Prices!E:E,"MISSING")))</f>
        <v>#N/A</v>
      </c>
    </row>
    <row r="1951" spans="1:2">
      <c r="A1951">
        <f>Prices!A1957</f>
        <v>0</v>
      </c>
      <c r="B1951" s="470" t="e">
        <f>IF('Flow Indicator Parts List'!$D$2="CDN$",_xlfn.XLOOKUP(A1951,Prices!A:A,Prices!D:D),IF('Flow Indicator Parts List'!$D$2="US$",_xlfn.XLOOKUP(CurrencyModifier!A1951,Prices!A:A,Prices!E:E,"MISSING")))</f>
        <v>#N/A</v>
      </c>
    </row>
    <row r="1952" spans="1:2">
      <c r="A1952">
        <f>Prices!A1958</f>
        <v>0</v>
      </c>
      <c r="B1952" s="470" t="e">
        <f>IF('Flow Indicator Parts List'!$D$2="CDN$",_xlfn.XLOOKUP(A1952,Prices!A:A,Prices!D:D),IF('Flow Indicator Parts List'!$D$2="US$",_xlfn.XLOOKUP(CurrencyModifier!A1952,Prices!A:A,Prices!E:E,"MISSING")))</f>
        <v>#N/A</v>
      </c>
    </row>
    <row r="1953" spans="1:2">
      <c r="A1953">
        <f>Prices!A1959</f>
        <v>0</v>
      </c>
      <c r="B1953" s="470" t="e">
        <f>IF('Flow Indicator Parts List'!$D$2="CDN$",_xlfn.XLOOKUP(A1953,Prices!A:A,Prices!D:D),IF('Flow Indicator Parts List'!$D$2="US$",_xlfn.XLOOKUP(CurrencyModifier!A1953,Prices!A:A,Prices!E:E,"MISSING")))</f>
        <v>#N/A</v>
      </c>
    </row>
    <row r="1954" spans="1:2">
      <c r="A1954">
        <f>Prices!A1960</f>
        <v>0</v>
      </c>
      <c r="B1954" s="470" t="e">
        <f>IF('Flow Indicator Parts List'!$D$2="CDN$",_xlfn.XLOOKUP(A1954,Prices!A:A,Prices!D:D),IF('Flow Indicator Parts List'!$D$2="US$",_xlfn.XLOOKUP(CurrencyModifier!A1954,Prices!A:A,Prices!E:E,"MISSING")))</f>
        <v>#N/A</v>
      </c>
    </row>
    <row r="1955" spans="1:2">
      <c r="A1955">
        <f>Prices!A1961</f>
        <v>0</v>
      </c>
      <c r="B1955" s="470" t="e">
        <f>IF('Flow Indicator Parts List'!$D$2="CDN$",_xlfn.XLOOKUP(A1955,Prices!A:A,Prices!D:D),IF('Flow Indicator Parts List'!$D$2="US$",_xlfn.XLOOKUP(CurrencyModifier!A1955,Prices!A:A,Prices!E:E,"MISSING")))</f>
        <v>#N/A</v>
      </c>
    </row>
    <row r="1956" spans="1:2">
      <c r="A1956">
        <f>Prices!A1962</f>
        <v>0</v>
      </c>
      <c r="B1956" s="470" t="e">
        <f>IF('Flow Indicator Parts List'!$D$2="CDN$",_xlfn.XLOOKUP(A1956,Prices!A:A,Prices!D:D),IF('Flow Indicator Parts List'!$D$2="US$",_xlfn.XLOOKUP(CurrencyModifier!A1956,Prices!A:A,Prices!E:E,"MISSING")))</f>
        <v>#N/A</v>
      </c>
    </row>
    <row r="1957" spans="1:2">
      <c r="A1957">
        <f>Prices!A1963</f>
        <v>0</v>
      </c>
      <c r="B1957" s="470" t="e">
        <f>IF('Flow Indicator Parts List'!$D$2="CDN$",_xlfn.XLOOKUP(A1957,Prices!A:A,Prices!D:D),IF('Flow Indicator Parts List'!$D$2="US$",_xlfn.XLOOKUP(CurrencyModifier!A1957,Prices!A:A,Prices!E:E,"MISSING")))</f>
        <v>#N/A</v>
      </c>
    </row>
    <row r="1958" spans="1:2">
      <c r="A1958">
        <f>Prices!A1964</f>
        <v>0</v>
      </c>
      <c r="B1958" s="470" t="e">
        <f>IF('Flow Indicator Parts List'!$D$2="CDN$",_xlfn.XLOOKUP(A1958,Prices!A:A,Prices!D:D),IF('Flow Indicator Parts List'!$D$2="US$",_xlfn.XLOOKUP(CurrencyModifier!A1958,Prices!A:A,Prices!E:E,"MISSING")))</f>
        <v>#N/A</v>
      </c>
    </row>
    <row r="1959" spans="1:2">
      <c r="A1959">
        <f>Prices!A1965</f>
        <v>0</v>
      </c>
      <c r="B1959" s="470" t="e">
        <f>IF('Flow Indicator Parts List'!$D$2="CDN$",_xlfn.XLOOKUP(A1959,Prices!A:A,Prices!D:D),IF('Flow Indicator Parts List'!$D$2="US$",_xlfn.XLOOKUP(CurrencyModifier!A1959,Prices!A:A,Prices!E:E,"MISSING")))</f>
        <v>#N/A</v>
      </c>
    </row>
    <row r="1960" spans="1:2">
      <c r="A1960">
        <f>Prices!A1966</f>
        <v>0</v>
      </c>
      <c r="B1960" s="470" t="e">
        <f>IF('Flow Indicator Parts List'!$D$2="CDN$",_xlfn.XLOOKUP(A1960,Prices!A:A,Prices!D:D),IF('Flow Indicator Parts List'!$D$2="US$",_xlfn.XLOOKUP(CurrencyModifier!A1960,Prices!A:A,Prices!E:E,"MISSING")))</f>
        <v>#N/A</v>
      </c>
    </row>
    <row r="1961" spans="1:2">
      <c r="A1961">
        <f>Prices!A1967</f>
        <v>0</v>
      </c>
      <c r="B1961" s="470" t="e">
        <f>IF('Flow Indicator Parts List'!$D$2="CDN$",_xlfn.XLOOKUP(A1961,Prices!A:A,Prices!D:D),IF('Flow Indicator Parts List'!$D$2="US$",_xlfn.XLOOKUP(CurrencyModifier!A1961,Prices!A:A,Prices!E:E,"MISSING")))</f>
        <v>#N/A</v>
      </c>
    </row>
    <row r="1962" spans="1:2">
      <c r="A1962">
        <f>Prices!A1968</f>
        <v>0</v>
      </c>
      <c r="B1962" s="470" t="e">
        <f>IF('Flow Indicator Parts List'!$D$2="CDN$",_xlfn.XLOOKUP(A1962,Prices!A:A,Prices!D:D),IF('Flow Indicator Parts List'!$D$2="US$",_xlfn.XLOOKUP(CurrencyModifier!A1962,Prices!A:A,Prices!E:E,"MISSING")))</f>
        <v>#N/A</v>
      </c>
    </row>
    <row r="1963" spans="1:2">
      <c r="A1963">
        <f>Prices!A1969</f>
        <v>0</v>
      </c>
      <c r="B1963" s="470" t="e">
        <f>IF('Flow Indicator Parts List'!$D$2="CDN$",_xlfn.XLOOKUP(A1963,Prices!A:A,Prices!D:D),IF('Flow Indicator Parts List'!$D$2="US$",_xlfn.XLOOKUP(CurrencyModifier!A1963,Prices!A:A,Prices!E:E,"MISSING")))</f>
        <v>#N/A</v>
      </c>
    </row>
    <row r="1964" spans="1:2">
      <c r="A1964">
        <f>Prices!A1970</f>
        <v>0</v>
      </c>
      <c r="B1964" s="470" t="e">
        <f>IF('Flow Indicator Parts List'!$D$2="CDN$",_xlfn.XLOOKUP(A1964,Prices!A:A,Prices!D:D),IF('Flow Indicator Parts List'!$D$2="US$",_xlfn.XLOOKUP(CurrencyModifier!A1964,Prices!A:A,Prices!E:E,"MISSING")))</f>
        <v>#N/A</v>
      </c>
    </row>
    <row r="1965" spans="1:2">
      <c r="A1965">
        <f>Prices!A1971</f>
        <v>0</v>
      </c>
      <c r="B1965" s="470" t="e">
        <f>IF('Flow Indicator Parts List'!$D$2="CDN$",_xlfn.XLOOKUP(A1965,Prices!A:A,Prices!D:D),IF('Flow Indicator Parts List'!$D$2="US$",_xlfn.XLOOKUP(CurrencyModifier!A1965,Prices!A:A,Prices!E:E,"MISSING")))</f>
        <v>#N/A</v>
      </c>
    </row>
    <row r="1966" spans="1:2">
      <c r="A1966">
        <f>Prices!A1972</f>
        <v>0</v>
      </c>
      <c r="B1966" s="470" t="e">
        <f>IF('Flow Indicator Parts List'!$D$2="CDN$",_xlfn.XLOOKUP(A1966,Prices!A:A,Prices!D:D),IF('Flow Indicator Parts List'!$D$2="US$",_xlfn.XLOOKUP(CurrencyModifier!A1966,Prices!A:A,Prices!E:E,"MISSING")))</f>
        <v>#N/A</v>
      </c>
    </row>
    <row r="1967" spans="1:2">
      <c r="A1967">
        <f>Prices!A1973</f>
        <v>0</v>
      </c>
      <c r="B1967" s="470" t="e">
        <f>IF('Flow Indicator Parts List'!$D$2="CDN$",_xlfn.XLOOKUP(A1967,Prices!A:A,Prices!D:D),IF('Flow Indicator Parts List'!$D$2="US$",_xlfn.XLOOKUP(CurrencyModifier!A1967,Prices!A:A,Prices!E:E,"MISSING")))</f>
        <v>#N/A</v>
      </c>
    </row>
    <row r="1968" spans="1:2">
      <c r="A1968">
        <f>Prices!A1974</f>
        <v>0</v>
      </c>
      <c r="B1968" s="470" t="e">
        <f>IF('Flow Indicator Parts List'!$D$2="CDN$",_xlfn.XLOOKUP(A1968,Prices!A:A,Prices!D:D),IF('Flow Indicator Parts List'!$D$2="US$",_xlfn.XLOOKUP(CurrencyModifier!A1968,Prices!A:A,Prices!E:E,"MISSING")))</f>
        <v>#N/A</v>
      </c>
    </row>
    <row r="1969" spans="1:2">
      <c r="A1969">
        <f>Prices!A1975</f>
        <v>0</v>
      </c>
      <c r="B1969" s="470" t="e">
        <f>IF('Flow Indicator Parts List'!$D$2="CDN$",_xlfn.XLOOKUP(A1969,Prices!A:A,Prices!D:D),IF('Flow Indicator Parts List'!$D$2="US$",_xlfn.XLOOKUP(CurrencyModifier!A1969,Prices!A:A,Prices!E:E,"MISSING")))</f>
        <v>#N/A</v>
      </c>
    </row>
    <row r="1970" spans="1:2">
      <c r="A1970">
        <f>Prices!A1976</f>
        <v>0</v>
      </c>
      <c r="B1970" s="470" t="e">
        <f>IF('Flow Indicator Parts List'!$D$2="CDN$",_xlfn.XLOOKUP(A1970,Prices!A:A,Prices!D:D),IF('Flow Indicator Parts List'!$D$2="US$",_xlfn.XLOOKUP(CurrencyModifier!A1970,Prices!A:A,Prices!E:E,"MISSING")))</f>
        <v>#N/A</v>
      </c>
    </row>
    <row r="1971" spans="1:2">
      <c r="A1971">
        <f>Prices!A1977</f>
        <v>0</v>
      </c>
      <c r="B1971" s="470" t="e">
        <f>IF('Flow Indicator Parts List'!$D$2="CDN$",_xlfn.XLOOKUP(A1971,Prices!A:A,Prices!D:D),IF('Flow Indicator Parts List'!$D$2="US$",_xlfn.XLOOKUP(CurrencyModifier!A1971,Prices!A:A,Prices!E:E,"MISSING")))</f>
        <v>#N/A</v>
      </c>
    </row>
    <row r="1972" spans="1:2">
      <c r="A1972">
        <f>Prices!A1978</f>
        <v>0</v>
      </c>
      <c r="B1972" s="470" t="e">
        <f>IF('Flow Indicator Parts List'!$D$2="CDN$",_xlfn.XLOOKUP(A1972,Prices!A:A,Prices!D:D),IF('Flow Indicator Parts List'!$D$2="US$",_xlfn.XLOOKUP(CurrencyModifier!A1972,Prices!A:A,Prices!E:E,"MISSING")))</f>
        <v>#N/A</v>
      </c>
    </row>
    <row r="1973" spans="1:2">
      <c r="A1973">
        <f>Prices!A1979</f>
        <v>0</v>
      </c>
      <c r="B1973" s="470" t="e">
        <f>IF('Flow Indicator Parts List'!$D$2="CDN$",_xlfn.XLOOKUP(A1973,Prices!A:A,Prices!D:D),IF('Flow Indicator Parts List'!$D$2="US$",_xlfn.XLOOKUP(CurrencyModifier!A1973,Prices!A:A,Prices!E:E,"MISSING")))</f>
        <v>#N/A</v>
      </c>
    </row>
    <row r="1974" spans="1:2">
      <c r="A1974">
        <f>Prices!A1980</f>
        <v>0</v>
      </c>
      <c r="B1974" s="470" t="e">
        <f>IF('Flow Indicator Parts List'!$D$2="CDN$",_xlfn.XLOOKUP(A1974,Prices!A:A,Prices!D:D),IF('Flow Indicator Parts List'!$D$2="US$",_xlfn.XLOOKUP(CurrencyModifier!A1974,Prices!A:A,Prices!E:E,"MISSING")))</f>
        <v>#N/A</v>
      </c>
    </row>
    <row r="1975" spans="1:2">
      <c r="A1975">
        <f>Prices!A1981</f>
        <v>0</v>
      </c>
      <c r="B1975" s="470" t="e">
        <f>IF('Flow Indicator Parts List'!$D$2="CDN$",_xlfn.XLOOKUP(A1975,Prices!A:A,Prices!D:D),IF('Flow Indicator Parts List'!$D$2="US$",_xlfn.XLOOKUP(CurrencyModifier!A1975,Prices!A:A,Prices!E:E,"MISSING")))</f>
        <v>#N/A</v>
      </c>
    </row>
    <row r="1976" spans="1:2">
      <c r="A1976">
        <f>Prices!A1982</f>
        <v>0</v>
      </c>
      <c r="B1976" s="470" t="e">
        <f>IF('Flow Indicator Parts List'!$D$2="CDN$",_xlfn.XLOOKUP(A1976,Prices!A:A,Prices!D:D),IF('Flow Indicator Parts List'!$D$2="US$",_xlfn.XLOOKUP(CurrencyModifier!A1976,Prices!A:A,Prices!E:E,"MISSING")))</f>
        <v>#N/A</v>
      </c>
    </row>
    <row r="1977" spans="1:2">
      <c r="A1977">
        <f>Prices!A1983</f>
        <v>0</v>
      </c>
      <c r="B1977" s="470" t="e">
        <f>IF('Flow Indicator Parts List'!$D$2="CDN$",_xlfn.XLOOKUP(A1977,Prices!A:A,Prices!D:D),IF('Flow Indicator Parts List'!$D$2="US$",_xlfn.XLOOKUP(CurrencyModifier!A1977,Prices!A:A,Prices!E:E,"MISSING")))</f>
        <v>#N/A</v>
      </c>
    </row>
    <row r="1978" spans="1:2">
      <c r="A1978">
        <f>Prices!A1984</f>
        <v>0</v>
      </c>
      <c r="B1978" s="470" t="e">
        <f>IF('Flow Indicator Parts List'!$D$2="CDN$",_xlfn.XLOOKUP(A1978,Prices!A:A,Prices!D:D),IF('Flow Indicator Parts List'!$D$2="US$",_xlfn.XLOOKUP(CurrencyModifier!A1978,Prices!A:A,Prices!E:E,"MISSING")))</f>
        <v>#N/A</v>
      </c>
    </row>
    <row r="1979" spans="1:2">
      <c r="A1979">
        <f>Prices!A1985</f>
        <v>0</v>
      </c>
      <c r="B1979" s="470" t="e">
        <f>IF('Flow Indicator Parts List'!$D$2="CDN$",_xlfn.XLOOKUP(A1979,Prices!A:A,Prices!D:D),IF('Flow Indicator Parts List'!$D$2="US$",_xlfn.XLOOKUP(CurrencyModifier!A1979,Prices!A:A,Prices!E:E,"MISSING")))</f>
        <v>#N/A</v>
      </c>
    </row>
    <row r="1980" spans="1:2">
      <c r="A1980">
        <f>Prices!A1986</f>
        <v>0</v>
      </c>
      <c r="B1980" s="470" t="e">
        <f>IF('Flow Indicator Parts List'!$D$2="CDN$",_xlfn.XLOOKUP(A1980,Prices!A:A,Prices!D:D),IF('Flow Indicator Parts List'!$D$2="US$",_xlfn.XLOOKUP(CurrencyModifier!A1980,Prices!A:A,Prices!E:E,"MISSING")))</f>
        <v>#N/A</v>
      </c>
    </row>
    <row r="1981" spans="1:2">
      <c r="A1981">
        <f>Prices!A1987</f>
        <v>0</v>
      </c>
      <c r="B1981" s="470" t="e">
        <f>IF('Flow Indicator Parts List'!$D$2="CDN$",_xlfn.XLOOKUP(A1981,Prices!A:A,Prices!D:D),IF('Flow Indicator Parts List'!$D$2="US$",_xlfn.XLOOKUP(CurrencyModifier!A1981,Prices!A:A,Prices!E:E,"MISSING")))</f>
        <v>#N/A</v>
      </c>
    </row>
    <row r="1982" spans="1:2">
      <c r="A1982">
        <f>Prices!A1988</f>
        <v>0</v>
      </c>
      <c r="B1982" s="470" t="e">
        <f>IF('Flow Indicator Parts List'!$D$2="CDN$",_xlfn.XLOOKUP(A1982,Prices!A:A,Prices!D:D),IF('Flow Indicator Parts List'!$D$2="US$",_xlfn.XLOOKUP(CurrencyModifier!A1982,Prices!A:A,Prices!E:E,"MISSING")))</f>
        <v>#N/A</v>
      </c>
    </row>
    <row r="1983" spans="1:2">
      <c r="A1983">
        <f>Prices!A1989</f>
        <v>0</v>
      </c>
      <c r="B1983" s="470" t="e">
        <f>IF('Flow Indicator Parts List'!$D$2="CDN$",_xlfn.XLOOKUP(A1983,Prices!A:A,Prices!D:D),IF('Flow Indicator Parts List'!$D$2="US$",_xlfn.XLOOKUP(CurrencyModifier!A1983,Prices!A:A,Prices!E:E,"MISSING")))</f>
        <v>#N/A</v>
      </c>
    </row>
    <row r="1984" spans="1:2">
      <c r="A1984">
        <f>Prices!A1990</f>
        <v>0</v>
      </c>
      <c r="B1984" s="470" t="e">
        <f>IF('Flow Indicator Parts List'!$D$2="CDN$",_xlfn.XLOOKUP(A1984,Prices!A:A,Prices!D:D),IF('Flow Indicator Parts List'!$D$2="US$",_xlfn.XLOOKUP(CurrencyModifier!A1984,Prices!A:A,Prices!E:E,"MISSING")))</f>
        <v>#N/A</v>
      </c>
    </row>
    <row r="1985" spans="1:2">
      <c r="A1985">
        <f>Prices!A1991</f>
        <v>0</v>
      </c>
      <c r="B1985" s="470" t="e">
        <f>IF('Flow Indicator Parts List'!$D$2="CDN$",_xlfn.XLOOKUP(A1985,Prices!A:A,Prices!D:D),IF('Flow Indicator Parts List'!$D$2="US$",_xlfn.XLOOKUP(CurrencyModifier!A1985,Prices!A:A,Prices!E:E,"MISSING")))</f>
        <v>#N/A</v>
      </c>
    </row>
    <row r="1986" spans="1:2">
      <c r="A1986">
        <f>Prices!A1992</f>
        <v>0</v>
      </c>
      <c r="B1986" s="470" t="e">
        <f>IF('Flow Indicator Parts List'!$D$2="CDN$",_xlfn.XLOOKUP(A1986,Prices!A:A,Prices!D:D),IF('Flow Indicator Parts List'!$D$2="US$",_xlfn.XLOOKUP(CurrencyModifier!A1986,Prices!A:A,Prices!E:E,"MISSING")))</f>
        <v>#N/A</v>
      </c>
    </row>
    <row r="1987" spans="1:2">
      <c r="A1987">
        <f>Prices!A1993</f>
        <v>0</v>
      </c>
      <c r="B1987" s="470" t="e">
        <f>IF('Flow Indicator Parts List'!$D$2="CDN$",_xlfn.XLOOKUP(A1987,Prices!A:A,Prices!D:D),IF('Flow Indicator Parts List'!$D$2="US$",_xlfn.XLOOKUP(CurrencyModifier!A1987,Prices!A:A,Prices!E:E,"MISSING")))</f>
        <v>#N/A</v>
      </c>
    </row>
    <row r="1988" spans="1:2">
      <c r="A1988">
        <f>Prices!A1994</f>
        <v>0</v>
      </c>
      <c r="B1988" s="470" t="e">
        <f>IF('Flow Indicator Parts List'!$D$2="CDN$",_xlfn.XLOOKUP(A1988,Prices!A:A,Prices!D:D),IF('Flow Indicator Parts List'!$D$2="US$",_xlfn.XLOOKUP(CurrencyModifier!A1988,Prices!A:A,Prices!E:E,"MISSING")))</f>
        <v>#N/A</v>
      </c>
    </row>
    <row r="1989" spans="1:2">
      <c r="A1989">
        <f>Prices!A1995</f>
        <v>0</v>
      </c>
      <c r="B1989" s="470" t="e">
        <f>IF('Flow Indicator Parts List'!$D$2="CDN$",_xlfn.XLOOKUP(A1989,Prices!A:A,Prices!D:D),IF('Flow Indicator Parts List'!$D$2="US$",_xlfn.XLOOKUP(CurrencyModifier!A1989,Prices!A:A,Prices!E:E,"MISSING")))</f>
        <v>#N/A</v>
      </c>
    </row>
    <row r="1990" spans="1:2">
      <c r="A1990">
        <f>Prices!A1996</f>
        <v>0</v>
      </c>
      <c r="B1990" s="470" t="e">
        <f>IF('Flow Indicator Parts List'!$D$2="CDN$",_xlfn.XLOOKUP(A1990,Prices!A:A,Prices!D:D),IF('Flow Indicator Parts List'!$D$2="US$",_xlfn.XLOOKUP(CurrencyModifier!A1990,Prices!A:A,Prices!E:E,"MISSING")))</f>
        <v>#N/A</v>
      </c>
    </row>
    <row r="1991" spans="1:2">
      <c r="A1991">
        <f>Prices!A1997</f>
        <v>0</v>
      </c>
      <c r="B1991" s="470" t="e">
        <f>IF('Flow Indicator Parts List'!$D$2="CDN$",_xlfn.XLOOKUP(A1991,Prices!A:A,Prices!D:D),IF('Flow Indicator Parts List'!$D$2="US$",_xlfn.XLOOKUP(CurrencyModifier!A1991,Prices!A:A,Prices!E:E,"MISSING")))</f>
        <v>#N/A</v>
      </c>
    </row>
    <row r="1992" spans="1:2">
      <c r="A1992">
        <f>Prices!A1998</f>
        <v>0</v>
      </c>
      <c r="B1992" s="470" t="e">
        <f>IF('Flow Indicator Parts List'!$D$2="CDN$",_xlfn.XLOOKUP(A1992,Prices!A:A,Prices!D:D),IF('Flow Indicator Parts List'!$D$2="US$",_xlfn.XLOOKUP(CurrencyModifier!A1992,Prices!A:A,Prices!E:E,"MISSING")))</f>
        <v>#N/A</v>
      </c>
    </row>
    <row r="1993" spans="1:2">
      <c r="A1993">
        <f>Prices!A1999</f>
        <v>0</v>
      </c>
      <c r="B1993" s="470" t="e">
        <f>IF('Flow Indicator Parts List'!$D$2="CDN$",_xlfn.XLOOKUP(A1993,Prices!A:A,Prices!D:D),IF('Flow Indicator Parts List'!$D$2="US$",_xlfn.XLOOKUP(CurrencyModifier!A1993,Prices!A:A,Prices!E:E,"MISSING")))</f>
        <v>#N/A</v>
      </c>
    </row>
    <row r="1994" spans="1:2">
      <c r="A1994">
        <f>Prices!A2000</f>
        <v>0</v>
      </c>
      <c r="B1994" s="470" t="e">
        <f>IF('Flow Indicator Parts List'!$D$2="CDN$",_xlfn.XLOOKUP(A1994,Prices!A:A,Prices!D:D),IF('Flow Indicator Parts List'!$D$2="US$",_xlfn.XLOOKUP(CurrencyModifier!A1994,Prices!A:A,Prices!E:E,"MISSING")))</f>
        <v>#N/A</v>
      </c>
    </row>
    <row r="1995" spans="1:2">
      <c r="A1995">
        <f>Prices!A2001</f>
        <v>0</v>
      </c>
      <c r="B1995" s="470" t="e">
        <f>IF('Flow Indicator Parts List'!$D$2="CDN$",_xlfn.XLOOKUP(A1995,Prices!A:A,Prices!D:D),IF('Flow Indicator Parts List'!$D$2="US$",_xlfn.XLOOKUP(CurrencyModifier!A1995,Prices!A:A,Prices!E:E,"MISSING")))</f>
        <v>#N/A</v>
      </c>
    </row>
    <row r="1996" spans="1:2">
      <c r="A1996">
        <f>Prices!A2002</f>
        <v>0</v>
      </c>
      <c r="B1996" s="470" t="e">
        <f>IF('Flow Indicator Parts List'!$D$2="CDN$",_xlfn.XLOOKUP(A1996,Prices!A:A,Prices!D:D),IF('Flow Indicator Parts List'!$D$2="US$",_xlfn.XLOOKUP(CurrencyModifier!A1996,Prices!A:A,Prices!E:E,"MISSING")))</f>
        <v>#N/A</v>
      </c>
    </row>
    <row r="1997" spans="1:2">
      <c r="A1997">
        <f>Prices!A2003</f>
        <v>0</v>
      </c>
      <c r="B1997" s="470" t="e">
        <f>IF('Flow Indicator Parts List'!$D$2="CDN$",_xlfn.XLOOKUP(A1997,Prices!A:A,Prices!D:D),IF('Flow Indicator Parts List'!$D$2="US$",_xlfn.XLOOKUP(CurrencyModifier!A1997,Prices!A:A,Prices!E:E,"MISSING")))</f>
        <v>#N/A</v>
      </c>
    </row>
    <row r="1998" spans="1:2">
      <c r="A1998">
        <f>Prices!A2004</f>
        <v>0</v>
      </c>
      <c r="B1998" s="470" t="e">
        <f>IF('Flow Indicator Parts List'!$D$2="CDN$",_xlfn.XLOOKUP(A1998,Prices!A:A,Prices!D:D),IF('Flow Indicator Parts List'!$D$2="US$",_xlfn.XLOOKUP(CurrencyModifier!A1998,Prices!A:A,Prices!E:E,"MISSING")))</f>
        <v>#N/A</v>
      </c>
    </row>
    <row r="1999" spans="1:2">
      <c r="A1999">
        <f>Prices!A2005</f>
        <v>0</v>
      </c>
      <c r="B1999" s="470" t="e">
        <f>IF('Flow Indicator Parts List'!$D$2="CDN$",_xlfn.XLOOKUP(A1999,Prices!A:A,Prices!D:D),IF('Flow Indicator Parts List'!$D$2="US$",_xlfn.XLOOKUP(CurrencyModifier!A1999,Prices!A:A,Prices!E:E,"MISSING")))</f>
        <v>#N/A</v>
      </c>
    </row>
    <row r="2000" spans="1:2">
      <c r="A2000">
        <f>Prices!A2006</f>
        <v>0</v>
      </c>
      <c r="B2000" s="470" t="e">
        <f>IF('Flow Indicator Parts List'!$D$2="CDN$",_xlfn.XLOOKUP(A2000,Prices!A:A,Prices!D:D),IF('Flow Indicator Parts List'!$D$2="US$",_xlfn.XLOOKUP(CurrencyModifier!A2000,Prices!A:A,Prices!E:E,"MISSING")))</f>
        <v>#N/A</v>
      </c>
    </row>
    <row r="2001" spans="1:2">
      <c r="A2001">
        <f>Prices!A2007</f>
        <v>0</v>
      </c>
      <c r="B2001" s="470" t="e">
        <f>IF('Flow Indicator Parts List'!$D$2="CDN$",_xlfn.XLOOKUP(A2001,Prices!A:A,Prices!D:D),IF('Flow Indicator Parts List'!$D$2="US$",_xlfn.XLOOKUP(CurrencyModifier!A2001,Prices!A:A,Prices!E:E,"MISSING")))</f>
        <v>#N/A</v>
      </c>
    </row>
    <row r="2002" spans="1:2">
      <c r="A2002">
        <f>Prices!A2008</f>
        <v>0</v>
      </c>
      <c r="B2002" s="470" t="e">
        <f>IF('Flow Indicator Parts List'!$D$2="CDN$",_xlfn.XLOOKUP(A2002,Prices!A:A,Prices!D:D),IF('Flow Indicator Parts List'!$D$2="US$",_xlfn.XLOOKUP(CurrencyModifier!A2002,Prices!A:A,Prices!E:E,"MISSING")))</f>
        <v>#N/A</v>
      </c>
    </row>
    <row r="2003" spans="1:2">
      <c r="A2003">
        <f>Prices!A2009</f>
        <v>0</v>
      </c>
      <c r="B2003" s="470" t="e">
        <f>IF('Flow Indicator Parts List'!$D$2="CDN$",_xlfn.XLOOKUP(A2003,Prices!A:A,Prices!D:D),IF('Flow Indicator Parts List'!$D$2="US$",_xlfn.XLOOKUP(CurrencyModifier!A2003,Prices!A:A,Prices!E:E,"MISSING")))</f>
        <v>#N/A</v>
      </c>
    </row>
    <row r="2004" spans="1:2">
      <c r="A2004">
        <f>Prices!A2010</f>
        <v>0</v>
      </c>
      <c r="B2004" s="470" t="e">
        <f>IF('Flow Indicator Parts List'!$D$2="CDN$",_xlfn.XLOOKUP(A2004,Prices!A:A,Prices!D:D),IF('Flow Indicator Parts List'!$D$2="US$",_xlfn.XLOOKUP(CurrencyModifier!A2004,Prices!A:A,Prices!E:E,"MISSING")))</f>
        <v>#N/A</v>
      </c>
    </row>
    <row r="2005" spans="1:2">
      <c r="A2005">
        <f>Prices!A2011</f>
        <v>0</v>
      </c>
      <c r="B2005" s="470" t="e">
        <f>IF('Flow Indicator Parts List'!$D$2="CDN$",_xlfn.XLOOKUP(A2005,Prices!A:A,Prices!D:D),IF('Flow Indicator Parts List'!$D$2="US$",_xlfn.XLOOKUP(CurrencyModifier!A2005,Prices!A:A,Prices!E:E,"MISSING")))</f>
        <v>#N/A</v>
      </c>
    </row>
    <row r="2006" spans="1:2">
      <c r="A2006">
        <f>Prices!A2012</f>
        <v>0</v>
      </c>
      <c r="B2006" s="470" t="e">
        <f>IF('Flow Indicator Parts List'!$D$2="CDN$",_xlfn.XLOOKUP(A2006,Prices!A:A,Prices!D:D),IF('Flow Indicator Parts List'!$D$2="US$",_xlfn.XLOOKUP(CurrencyModifier!A2006,Prices!A:A,Prices!E:E,"MISSING")))</f>
        <v>#N/A</v>
      </c>
    </row>
    <row r="2007" spans="1:2">
      <c r="A2007">
        <f>Prices!A2013</f>
        <v>0</v>
      </c>
      <c r="B2007" s="470" t="e">
        <f>IF('Flow Indicator Parts List'!$D$2="CDN$",_xlfn.XLOOKUP(A2007,Prices!A:A,Prices!D:D),IF('Flow Indicator Parts List'!$D$2="US$",_xlfn.XLOOKUP(CurrencyModifier!A2007,Prices!A:A,Prices!E:E,"MISSING")))</f>
        <v>#N/A</v>
      </c>
    </row>
    <row r="2008" spans="1:2">
      <c r="A2008">
        <f>Prices!A2014</f>
        <v>0</v>
      </c>
      <c r="B2008" s="470" t="e">
        <f>IF('Flow Indicator Parts List'!$D$2="CDN$",_xlfn.XLOOKUP(A2008,Prices!A:A,Prices!D:D),IF('Flow Indicator Parts List'!$D$2="US$",_xlfn.XLOOKUP(CurrencyModifier!A2008,Prices!A:A,Prices!E:E,"MISSING")))</f>
        <v>#N/A</v>
      </c>
    </row>
    <row r="2009" spans="1:2">
      <c r="A2009">
        <f>Prices!A2015</f>
        <v>0</v>
      </c>
      <c r="B2009" s="470" t="e">
        <f>IF('Flow Indicator Parts List'!$D$2="CDN$",_xlfn.XLOOKUP(A2009,Prices!A:A,Prices!D:D),IF('Flow Indicator Parts List'!$D$2="US$",_xlfn.XLOOKUP(CurrencyModifier!A2009,Prices!A:A,Prices!E:E,"MISSING")))</f>
        <v>#N/A</v>
      </c>
    </row>
    <row r="2010" spans="1:2">
      <c r="A2010">
        <f>Prices!A2016</f>
        <v>0</v>
      </c>
      <c r="B2010" s="470" t="e">
        <f>IF('Flow Indicator Parts List'!$D$2="CDN$",_xlfn.XLOOKUP(A2010,Prices!A:A,Prices!D:D),IF('Flow Indicator Parts List'!$D$2="US$",_xlfn.XLOOKUP(CurrencyModifier!A2010,Prices!A:A,Prices!E:E,"MISSING")))</f>
        <v>#N/A</v>
      </c>
    </row>
    <row r="2011" spans="1:2">
      <c r="A2011">
        <f>Prices!A2017</f>
        <v>0</v>
      </c>
      <c r="B2011" s="470" t="e">
        <f>IF('Flow Indicator Parts List'!$D$2="CDN$",_xlfn.XLOOKUP(A2011,Prices!A:A,Prices!D:D),IF('Flow Indicator Parts List'!$D$2="US$",_xlfn.XLOOKUP(CurrencyModifier!A2011,Prices!A:A,Prices!E:E,"MISSING")))</f>
        <v>#N/A</v>
      </c>
    </row>
    <row r="2012" spans="1:2">
      <c r="A2012">
        <f>Prices!A2018</f>
        <v>0</v>
      </c>
      <c r="B2012" s="470" t="e">
        <f>IF('Flow Indicator Parts List'!$D$2="CDN$",_xlfn.XLOOKUP(A2012,Prices!A:A,Prices!D:D),IF('Flow Indicator Parts List'!$D$2="US$",_xlfn.XLOOKUP(CurrencyModifier!A2012,Prices!A:A,Prices!E:E,"MISSING")))</f>
        <v>#N/A</v>
      </c>
    </row>
    <row r="2013" spans="1:2">
      <c r="A2013">
        <f>Prices!A2019</f>
        <v>0</v>
      </c>
      <c r="B2013" s="470" t="e">
        <f>IF('Flow Indicator Parts List'!$D$2="CDN$",_xlfn.XLOOKUP(A2013,Prices!A:A,Prices!D:D),IF('Flow Indicator Parts List'!$D$2="US$",_xlfn.XLOOKUP(CurrencyModifier!A2013,Prices!A:A,Prices!E:E,"MISSING")))</f>
        <v>#N/A</v>
      </c>
    </row>
    <row r="2014" spans="1:2">
      <c r="A2014">
        <f>Prices!A2020</f>
        <v>0</v>
      </c>
      <c r="B2014" s="470" t="e">
        <f>IF('Flow Indicator Parts List'!$D$2="CDN$",_xlfn.XLOOKUP(A2014,Prices!A:A,Prices!D:D),IF('Flow Indicator Parts List'!$D$2="US$",_xlfn.XLOOKUP(CurrencyModifier!A2014,Prices!A:A,Prices!E:E,"MISSING")))</f>
        <v>#N/A</v>
      </c>
    </row>
    <row r="2015" spans="1:2">
      <c r="A2015">
        <f>Prices!A2021</f>
        <v>0</v>
      </c>
      <c r="B2015" s="470" t="e">
        <f>IF('Flow Indicator Parts List'!$D$2="CDN$",_xlfn.XLOOKUP(A2015,Prices!A:A,Prices!D:D),IF('Flow Indicator Parts List'!$D$2="US$",_xlfn.XLOOKUP(CurrencyModifier!A2015,Prices!A:A,Prices!E:E,"MISSING")))</f>
        <v>#N/A</v>
      </c>
    </row>
    <row r="2016" spans="1:2">
      <c r="A2016">
        <f>Prices!A2022</f>
        <v>0</v>
      </c>
      <c r="B2016" s="470" t="e">
        <f>IF('Flow Indicator Parts List'!$D$2="CDN$",_xlfn.XLOOKUP(A2016,Prices!A:A,Prices!D:D),IF('Flow Indicator Parts List'!$D$2="US$",_xlfn.XLOOKUP(CurrencyModifier!A2016,Prices!A:A,Prices!E:E,"MISSING")))</f>
        <v>#N/A</v>
      </c>
    </row>
    <row r="2017" spans="1:2">
      <c r="A2017">
        <f>Prices!A2023</f>
        <v>0</v>
      </c>
      <c r="B2017" s="470" t="e">
        <f>IF('Flow Indicator Parts List'!$D$2="CDN$",_xlfn.XLOOKUP(A2017,Prices!A:A,Prices!D:D),IF('Flow Indicator Parts List'!$D$2="US$",_xlfn.XLOOKUP(CurrencyModifier!A2017,Prices!A:A,Prices!E:E,"MISSING")))</f>
        <v>#N/A</v>
      </c>
    </row>
    <row r="2018" spans="1:2">
      <c r="A2018">
        <f>Prices!A2024</f>
        <v>0</v>
      </c>
      <c r="B2018" s="470" t="e">
        <f>IF('Flow Indicator Parts List'!$D$2="CDN$",_xlfn.XLOOKUP(A2018,Prices!A:A,Prices!D:D),IF('Flow Indicator Parts List'!$D$2="US$",_xlfn.XLOOKUP(CurrencyModifier!A2018,Prices!A:A,Prices!E:E,"MISSING")))</f>
        <v>#N/A</v>
      </c>
    </row>
    <row r="2019" spans="1:2">
      <c r="A2019">
        <f>Prices!A2025</f>
        <v>0</v>
      </c>
      <c r="B2019" s="470" t="e">
        <f>IF('Flow Indicator Parts List'!$D$2="CDN$",_xlfn.XLOOKUP(A2019,Prices!A:A,Prices!D:D),IF('Flow Indicator Parts List'!$D$2="US$",_xlfn.XLOOKUP(CurrencyModifier!A2019,Prices!A:A,Prices!E:E,"MISSING")))</f>
        <v>#N/A</v>
      </c>
    </row>
    <row r="2020" spans="1:2">
      <c r="A2020">
        <f>Prices!A2026</f>
        <v>0</v>
      </c>
      <c r="B2020" s="470" t="e">
        <f>IF('Flow Indicator Parts List'!$D$2="CDN$",_xlfn.XLOOKUP(A2020,Prices!A:A,Prices!D:D),IF('Flow Indicator Parts List'!$D$2="US$",_xlfn.XLOOKUP(CurrencyModifier!A2020,Prices!A:A,Prices!E:E,"MISSING")))</f>
        <v>#N/A</v>
      </c>
    </row>
    <row r="2021" spans="1:2">
      <c r="A2021">
        <f>Prices!A2027</f>
        <v>0</v>
      </c>
      <c r="B2021" s="470" t="e">
        <f>IF('Flow Indicator Parts List'!$D$2="CDN$",_xlfn.XLOOKUP(A2021,Prices!A:A,Prices!D:D),IF('Flow Indicator Parts List'!$D$2="US$",_xlfn.XLOOKUP(CurrencyModifier!A2021,Prices!A:A,Prices!E:E,"MISSING")))</f>
        <v>#N/A</v>
      </c>
    </row>
    <row r="2022" spans="1:2">
      <c r="A2022">
        <f>Prices!A2028</f>
        <v>0</v>
      </c>
      <c r="B2022" s="470" t="e">
        <f>IF('Flow Indicator Parts List'!$D$2="CDN$",_xlfn.XLOOKUP(A2022,Prices!A:A,Prices!D:D),IF('Flow Indicator Parts List'!$D$2="US$",_xlfn.XLOOKUP(CurrencyModifier!A2022,Prices!A:A,Prices!E:E,"MISSING")))</f>
        <v>#N/A</v>
      </c>
    </row>
    <row r="2023" spans="1:2">
      <c r="A2023">
        <f>Prices!A2029</f>
        <v>0</v>
      </c>
      <c r="B2023" s="470" t="e">
        <f>IF('Flow Indicator Parts List'!$D$2="CDN$",_xlfn.XLOOKUP(A2023,Prices!A:A,Prices!D:D),IF('Flow Indicator Parts List'!$D$2="US$",_xlfn.XLOOKUP(CurrencyModifier!A2023,Prices!A:A,Prices!E:E,"MISSING")))</f>
        <v>#N/A</v>
      </c>
    </row>
    <row r="2024" spans="1:2">
      <c r="A2024">
        <f>Prices!A2030</f>
        <v>0</v>
      </c>
      <c r="B2024" s="470" t="e">
        <f>IF('Flow Indicator Parts List'!$D$2="CDN$",_xlfn.XLOOKUP(A2024,Prices!A:A,Prices!D:D),IF('Flow Indicator Parts List'!$D$2="US$",_xlfn.XLOOKUP(CurrencyModifier!A2024,Prices!A:A,Prices!E:E,"MISSING")))</f>
        <v>#N/A</v>
      </c>
    </row>
    <row r="2025" spans="1:2">
      <c r="A2025">
        <f>Prices!A2031</f>
        <v>0</v>
      </c>
      <c r="B2025" s="470" t="e">
        <f>IF('Flow Indicator Parts List'!$D$2="CDN$",_xlfn.XLOOKUP(A2025,Prices!A:A,Prices!D:D),IF('Flow Indicator Parts List'!$D$2="US$",_xlfn.XLOOKUP(CurrencyModifier!A2025,Prices!A:A,Prices!E:E,"MISSING")))</f>
        <v>#N/A</v>
      </c>
    </row>
    <row r="2026" spans="1:2">
      <c r="A2026">
        <f>Prices!A2032</f>
        <v>0</v>
      </c>
      <c r="B2026" s="470" t="e">
        <f>IF('Flow Indicator Parts List'!$D$2="CDN$",_xlfn.XLOOKUP(A2026,Prices!A:A,Prices!D:D),IF('Flow Indicator Parts List'!$D$2="US$",_xlfn.XLOOKUP(CurrencyModifier!A2026,Prices!A:A,Prices!E:E,"MISSING")))</f>
        <v>#N/A</v>
      </c>
    </row>
    <row r="2027" spans="1:2">
      <c r="A2027">
        <f>Prices!A2033</f>
        <v>0</v>
      </c>
      <c r="B2027" s="470" t="e">
        <f>IF('Flow Indicator Parts List'!$D$2="CDN$",_xlfn.XLOOKUP(A2027,Prices!A:A,Prices!D:D),IF('Flow Indicator Parts List'!$D$2="US$",_xlfn.XLOOKUP(CurrencyModifier!A2027,Prices!A:A,Prices!E:E,"MISSING")))</f>
        <v>#N/A</v>
      </c>
    </row>
    <row r="2028" spans="1:2">
      <c r="A2028">
        <f>Prices!A2034</f>
        <v>0</v>
      </c>
      <c r="B2028" s="470" t="e">
        <f>IF('Flow Indicator Parts List'!$D$2="CDN$",_xlfn.XLOOKUP(A2028,Prices!A:A,Prices!D:D),IF('Flow Indicator Parts List'!$D$2="US$",_xlfn.XLOOKUP(CurrencyModifier!A2028,Prices!A:A,Prices!E:E,"MISSING")))</f>
        <v>#N/A</v>
      </c>
    </row>
    <row r="2029" spans="1:2">
      <c r="A2029">
        <f>Prices!A2035</f>
        <v>0</v>
      </c>
      <c r="B2029" s="470" t="e">
        <f>IF('Flow Indicator Parts List'!$D$2="CDN$",_xlfn.XLOOKUP(A2029,Prices!A:A,Prices!D:D),IF('Flow Indicator Parts List'!$D$2="US$",_xlfn.XLOOKUP(CurrencyModifier!A2029,Prices!A:A,Prices!E:E,"MISSING")))</f>
        <v>#N/A</v>
      </c>
    </row>
    <row r="2030" spans="1:2">
      <c r="A2030">
        <f>Prices!A2036</f>
        <v>0</v>
      </c>
      <c r="B2030" s="470" t="e">
        <f>IF('Flow Indicator Parts List'!$D$2="CDN$",_xlfn.XLOOKUP(A2030,Prices!A:A,Prices!D:D),IF('Flow Indicator Parts List'!$D$2="US$",_xlfn.XLOOKUP(CurrencyModifier!A2030,Prices!A:A,Prices!E:E,"MISSING")))</f>
        <v>#N/A</v>
      </c>
    </row>
    <row r="2031" spans="1:2">
      <c r="A2031">
        <f>Prices!A2037</f>
        <v>0</v>
      </c>
      <c r="B2031" s="470" t="e">
        <f>IF('Flow Indicator Parts List'!$D$2="CDN$",_xlfn.XLOOKUP(A2031,Prices!A:A,Prices!D:D),IF('Flow Indicator Parts List'!$D$2="US$",_xlfn.XLOOKUP(CurrencyModifier!A2031,Prices!A:A,Prices!E:E,"MISSING")))</f>
        <v>#N/A</v>
      </c>
    </row>
    <row r="2032" spans="1:2">
      <c r="A2032">
        <f>Prices!A2038</f>
        <v>0</v>
      </c>
      <c r="B2032" s="470" t="e">
        <f>IF('Flow Indicator Parts List'!$D$2="CDN$",_xlfn.XLOOKUP(A2032,Prices!A:A,Prices!D:D),IF('Flow Indicator Parts List'!$D$2="US$",_xlfn.XLOOKUP(CurrencyModifier!A2032,Prices!A:A,Prices!E:E,"MISSING")))</f>
        <v>#N/A</v>
      </c>
    </row>
    <row r="2033" spans="1:2">
      <c r="A2033">
        <f>Prices!A2039</f>
        <v>0</v>
      </c>
      <c r="B2033" s="470" t="e">
        <f>IF('Flow Indicator Parts List'!$D$2="CDN$",_xlfn.XLOOKUP(A2033,Prices!A:A,Prices!D:D),IF('Flow Indicator Parts List'!$D$2="US$",_xlfn.XLOOKUP(CurrencyModifier!A2033,Prices!A:A,Prices!E:E,"MISSING")))</f>
        <v>#N/A</v>
      </c>
    </row>
    <row r="2034" spans="1:2">
      <c r="A2034">
        <f>Prices!A2040</f>
        <v>0</v>
      </c>
      <c r="B2034" s="470" t="e">
        <f>IF('Flow Indicator Parts List'!$D$2="CDN$",_xlfn.XLOOKUP(A2034,Prices!A:A,Prices!D:D),IF('Flow Indicator Parts List'!$D$2="US$",_xlfn.XLOOKUP(CurrencyModifier!A2034,Prices!A:A,Prices!E:E,"MISSING")))</f>
        <v>#N/A</v>
      </c>
    </row>
    <row r="2035" spans="1:2">
      <c r="A2035">
        <f>Prices!A2041</f>
        <v>0</v>
      </c>
      <c r="B2035" s="470" t="e">
        <f>IF('Flow Indicator Parts List'!$D$2="CDN$",_xlfn.XLOOKUP(A2035,Prices!A:A,Prices!D:D),IF('Flow Indicator Parts List'!$D$2="US$",_xlfn.XLOOKUP(CurrencyModifier!A2035,Prices!A:A,Prices!E:E,"MISSING")))</f>
        <v>#N/A</v>
      </c>
    </row>
    <row r="2036" spans="1:2">
      <c r="A2036">
        <f>Prices!A2042</f>
        <v>0</v>
      </c>
      <c r="B2036" s="470" t="e">
        <f>IF('Flow Indicator Parts List'!$D$2="CDN$",_xlfn.XLOOKUP(A2036,Prices!A:A,Prices!D:D),IF('Flow Indicator Parts List'!$D$2="US$",_xlfn.XLOOKUP(CurrencyModifier!A2036,Prices!A:A,Prices!E:E,"MISSING")))</f>
        <v>#N/A</v>
      </c>
    </row>
    <row r="2037" spans="1:2">
      <c r="A2037">
        <f>Prices!A2043</f>
        <v>0</v>
      </c>
      <c r="B2037" s="470" t="e">
        <f>IF('Flow Indicator Parts List'!$D$2="CDN$",_xlfn.XLOOKUP(A2037,Prices!A:A,Prices!D:D),IF('Flow Indicator Parts List'!$D$2="US$",_xlfn.XLOOKUP(CurrencyModifier!A2037,Prices!A:A,Prices!E:E,"MISSING")))</f>
        <v>#N/A</v>
      </c>
    </row>
    <row r="2038" spans="1:2">
      <c r="A2038">
        <f>Prices!A2044</f>
        <v>0</v>
      </c>
      <c r="B2038" s="470" t="e">
        <f>IF('Flow Indicator Parts List'!$D$2="CDN$",_xlfn.XLOOKUP(A2038,Prices!A:A,Prices!D:D),IF('Flow Indicator Parts List'!$D$2="US$",_xlfn.XLOOKUP(CurrencyModifier!A2038,Prices!A:A,Prices!E:E,"MISSING")))</f>
        <v>#N/A</v>
      </c>
    </row>
    <row r="2039" spans="1:2">
      <c r="A2039">
        <f>Prices!A2045</f>
        <v>0</v>
      </c>
      <c r="B2039" s="470" t="e">
        <f>IF('Flow Indicator Parts List'!$D$2="CDN$",_xlfn.XLOOKUP(A2039,Prices!A:A,Prices!D:D),IF('Flow Indicator Parts List'!$D$2="US$",_xlfn.XLOOKUP(CurrencyModifier!A2039,Prices!A:A,Prices!E:E,"MISSING")))</f>
        <v>#N/A</v>
      </c>
    </row>
    <row r="2040" spans="1:2">
      <c r="A2040">
        <f>Prices!A2046</f>
        <v>0</v>
      </c>
      <c r="B2040" s="470" t="e">
        <f>IF('Flow Indicator Parts List'!$D$2="CDN$",_xlfn.XLOOKUP(A2040,Prices!A:A,Prices!D:D),IF('Flow Indicator Parts List'!$D$2="US$",_xlfn.XLOOKUP(CurrencyModifier!A2040,Prices!A:A,Prices!E:E,"MISSING")))</f>
        <v>#N/A</v>
      </c>
    </row>
    <row r="2041" spans="1:2">
      <c r="A2041">
        <f>Prices!A2047</f>
        <v>0</v>
      </c>
      <c r="B2041" s="470" t="e">
        <f>IF('Flow Indicator Parts List'!$D$2="CDN$",_xlfn.XLOOKUP(A2041,Prices!A:A,Prices!D:D),IF('Flow Indicator Parts List'!$D$2="US$",_xlfn.XLOOKUP(CurrencyModifier!A2041,Prices!A:A,Prices!E:E,"MISSING")))</f>
        <v>#N/A</v>
      </c>
    </row>
    <row r="2042" spans="1:2">
      <c r="A2042">
        <f>Prices!A2048</f>
        <v>0</v>
      </c>
      <c r="B2042" s="470" t="e">
        <f>IF('Flow Indicator Parts List'!$D$2="CDN$",_xlfn.XLOOKUP(A2042,Prices!A:A,Prices!D:D),IF('Flow Indicator Parts List'!$D$2="US$",_xlfn.XLOOKUP(CurrencyModifier!A2042,Prices!A:A,Prices!E:E,"MISSING")))</f>
        <v>#N/A</v>
      </c>
    </row>
    <row r="2043" spans="1:2">
      <c r="A2043">
        <f>Prices!A2049</f>
        <v>0</v>
      </c>
      <c r="B2043" s="470" t="e">
        <f>IF('Flow Indicator Parts List'!$D$2="CDN$",_xlfn.XLOOKUP(A2043,Prices!A:A,Prices!D:D),IF('Flow Indicator Parts List'!$D$2="US$",_xlfn.XLOOKUP(CurrencyModifier!A2043,Prices!A:A,Prices!E:E,"MISSING")))</f>
        <v>#N/A</v>
      </c>
    </row>
    <row r="2044" spans="1:2">
      <c r="A2044">
        <f>Prices!A2050</f>
        <v>0</v>
      </c>
      <c r="B2044" s="470" t="e">
        <f>IF('Flow Indicator Parts List'!$D$2="CDN$",_xlfn.XLOOKUP(A2044,Prices!A:A,Prices!D:D),IF('Flow Indicator Parts List'!$D$2="US$",_xlfn.XLOOKUP(CurrencyModifier!A2044,Prices!A:A,Prices!E:E,"MISSING")))</f>
        <v>#N/A</v>
      </c>
    </row>
    <row r="2045" spans="1:2">
      <c r="A2045">
        <f>Prices!A2051</f>
        <v>0</v>
      </c>
      <c r="B2045" s="470" t="e">
        <f>IF('Flow Indicator Parts List'!$D$2="CDN$",_xlfn.XLOOKUP(A2045,Prices!A:A,Prices!D:D),IF('Flow Indicator Parts List'!$D$2="US$",_xlfn.XLOOKUP(CurrencyModifier!A2045,Prices!A:A,Prices!E:E,"MISSING")))</f>
        <v>#N/A</v>
      </c>
    </row>
    <row r="2046" spans="1:2">
      <c r="A2046">
        <f>Prices!A2052</f>
        <v>0</v>
      </c>
      <c r="B2046" s="470" t="e">
        <f>IF('Flow Indicator Parts List'!$D$2="CDN$",_xlfn.XLOOKUP(A2046,Prices!A:A,Prices!D:D),IF('Flow Indicator Parts List'!$D$2="US$",_xlfn.XLOOKUP(CurrencyModifier!A2046,Prices!A:A,Prices!E:E,"MISSING")))</f>
        <v>#N/A</v>
      </c>
    </row>
    <row r="2047" spans="1:2">
      <c r="A2047">
        <f>Prices!A2053</f>
        <v>0</v>
      </c>
      <c r="B2047" s="470" t="e">
        <f>IF('Flow Indicator Parts List'!$D$2="CDN$",_xlfn.XLOOKUP(A2047,Prices!A:A,Prices!D:D),IF('Flow Indicator Parts List'!$D$2="US$",_xlfn.XLOOKUP(CurrencyModifier!A2047,Prices!A:A,Prices!E:E,"MISSING")))</f>
        <v>#N/A</v>
      </c>
    </row>
    <row r="2048" spans="1:2">
      <c r="A2048">
        <f>Prices!A2054</f>
        <v>0</v>
      </c>
      <c r="B2048" s="470" t="e">
        <f>IF('Flow Indicator Parts List'!$D$2="CDN$",_xlfn.XLOOKUP(A2048,Prices!A:A,Prices!D:D),IF('Flow Indicator Parts List'!$D$2="US$",_xlfn.XLOOKUP(CurrencyModifier!A2048,Prices!A:A,Prices!E:E,"MISSING")))</f>
        <v>#N/A</v>
      </c>
    </row>
    <row r="2049" spans="1:2">
      <c r="A2049">
        <f>Prices!A2055</f>
        <v>0</v>
      </c>
      <c r="B2049" s="470" t="e">
        <f>IF('Flow Indicator Parts List'!$D$2="CDN$",_xlfn.XLOOKUP(A2049,Prices!A:A,Prices!D:D),IF('Flow Indicator Parts List'!$D$2="US$",_xlfn.XLOOKUP(CurrencyModifier!A2049,Prices!A:A,Prices!E:E,"MISSING")))</f>
        <v>#N/A</v>
      </c>
    </row>
    <row r="2050" spans="1:2">
      <c r="A2050">
        <f>Prices!A2056</f>
        <v>0</v>
      </c>
      <c r="B2050" s="470" t="e">
        <f>IF('Flow Indicator Parts List'!$D$2="CDN$",_xlfn.XLOOKUP(A2050,Prices!A:A,Prices!D:D),IF('Flow Indicator Parts List'!$D$2="US$",_xlfn.XLOOKUP(CurrencyModifier!A2050,Prices!A:A,Prices!E:E,"MISSING")))</f>
        <v>#N/A</v>
      </c>
    </row>
    <row r="2051" spans="1:2">
      <c r="A2051">
        <f>Prices!A2057</f>
        <v>0</v>
      </c>
      <c r="B2051" s="470" t="e">
        <f>IF('Flow Indicator Parts List'!$D$2="CDN$",_xlfn.XLOOKUP(A2051,Prices!A:A,Prices!D:D),IF('Flow Indicator Parts List'!$D$2="US$",_xlfn.XLOOKUP(CurrencyModifier!A2051,Prices!A:A,Prices!E:E,"MISSING")))</f>
        <v>#N/A</v>
      </c>
    </row>
    <row r="2052" spans="1:2">
      <c r="A2052">
        <f>Prices!A2058</f>
        <v>0</v>
      </c>
      <c r="B2052" s="470" t="e">
        <f>IF('Flow Indicator Parts List'!$D$2="CDN$",_xlfn.XLOOKUP(A2052,Prices!A:A,Prices!D:D),IF('Flow Indicator Parts List'!$D$2="US$",_xlfn.XLOOKUP(CurrencyModifier!A2052,Prices!A:A,Prices!E:E,"MISSING")))</f>
        <v>#N/A</v>
      </c>
    </row>
    <row r="2053" spans="1:2">
      <c r="A2053">
        <f>Prices!A2059</f>
        <v>0</v>
      </c>
      <c r="B2053" s="470" t="e">
        <f>IF('Flow Indicator Parts List'!$D$2="CDN$",_xlfn.XLOOKUP(A2053,Prices!A:A,Prices!D:D),IF('Flow Indicator Parts List'!$D$2="US$",_xlfn.XLOOKUP(CurrencyModifier!A2053,Prices!A:A,Prices!E:E,"MISSING")))</f>
        <v>#N/A</v>
      </c>
    </row>
    <row r="2054" spans="1:2">
      <c r="A2054">
        <f>Prices!A2060</f>
        <v>0</v>
      </c>
      <c r="B2054" s="470" t="e">
        <f>IF('Flow Indicator Parts List'!$D$2="CDN$",_xlfn.XLOOKUP(A2054,Prices!A:A,Prices!D:D),IF('Flow Indicator Parts List'!$D$2="US$",_xlfn.XLOOKUP(CurrencyModifier!A2054,Prices!A:A,Prices!E:E,"MISSING")))</f>
        <v>#N/A</v>
      </c>
    </row>
    <row r="2055" spans="1:2">
      <c r="A2055">
        <f>Prices!A2061</f>
        <v>0</v>
      </c>
      <c r="B2055" s="470" t="e">
        <f>IF('Flow Indicator Parts List'!$D$2="CDN$",_xlfn.XLOOKUP(A2055,Prices!A:A,Prices!D:D),IF('Flow Indicator Parts List'!$D$2="US$",_xlfn.XLOOKUP(CurrencyModifier!A2055,Prices!A:A,Prices!E:E,"MISSING")))</f>
        <v>#N/A</v>
      </c>
    </row>
    <row r="2056" spans="1:2">
      <c r="A2056">
        <f>Prices!A2062</f>
        <v>0</v>
      </c>
      <c r="B2056" s="470" t="e">
        <f>IF('Flow Indicator Parts List'!$D$2="CDN$",_xlfn.XLOOKUP(A2056,Prices!A:A,Prices!D:D),IF('Flow Indicator Parts List'!$D$2="US$",_xlfn.XLOOKUP(CurrencyModifier!A2056,Prices!A:A,Prices!E:E,"MISSING")))</f>
        <v>#N/A</v>
      </c>
    </row>
    <row r="2057" spans="1:2">
      <c r="A2057">
        <f>Prices!A2063</f>
        <v>0</v>
      </c>
      <c r="B2057" s="470" t="e">
        <f>IF('Flow Indicator Parts List'!$D$2="CDN$",_xlfn.XLOOKUP(A2057,Prices!A:A,Prices!D:D),IF('Flow Indicator Parts List'!$D$2="US$",_xlfn.XLOOKUP(CurrencyModifier!A2057,Prices!A:A,Prices!E:E,"MISSING")))</f>
        <v>#N/A</v>
      </c>
    </row>
    <row r="2058" spans="1:2">
      <c r="A2058">
        <f>Prices!A2064</f>
        <v>0</v>
      </c>
      <c r="B2058" s="470" t="e">
        <f>IF('Flow Indicator Parts List'!$D$2="CDN$",_xlfn.XLOOKUP(A2058,Prices!A:A,Prices!D:D),IF('Flow Indicator Parts List'!$D$2="US$",_xlfn.XLOOKUP(CurrencyModifier!A2058,Prices!A:A,Prices!E:E,"MISSING")))</f>
        <v>#N/A</v>
      </c>
    </row>
    <row r="2059" spans="1:2">
      <c r="A2059">
        <f>Prices!A2065</f>
        <v>0</v>
      </c>
      <c r="B2059" s="470" t="e">
        <f>IF('Flow Indicator Parts List'!$D$2="CDN$",_xlfn.XLOOKUP(A2059,Prices!A:A,Prices!D:D),IF('Flow Indicator Parts List'!$D$2="US$",_xlfn.XLOOKUP(CurrencyModifier!A2059,Prices!A:A,Prices!E:E,"MISSING")))</f>
        <v>#N/A</v>
      </c>
    </row>
    <row r="2060" spans="1:2">
      <c r="A2060">
        <f>Prices!A2066</f>
        <v>0</v>
      </c>
      <c r="B2060" s="470" t="e">
        <f>IF('Flow Indicator Parts List'!$D$2="CDN$",_xlfn.XLOOKUP(A2060,Prices!A:A,Prices!D:D),IF('Flow Indicator Parts List'!$D$2="US$",_xlfn.XLOOKUP(CurrencyModifier!A2060,Prices!A:A,Prices!E:E,"MISSING")))</f>
        <v>#N/A</v>
      </c>
    </row>
    <row r="2061" spans="1:2">
      <c r="A2061">
        <f>Prices!A2067</f>
        <v>0</v>
      </c>
      <c r="B2061" s="470" t="e">
        <f>IF('Flow Indicator Parts List'!$D$2="CDN$",_xlfn.XLOOKUP(A2061,Prices!A:A,Prices!D:D),IF('Flow Indicator Parts List'!$D$2="US$",_xlfn.XLOOKUP(CurrencyModifier!A2061,Prices!A:A,Prices!E:E,"MISSING")))</f>
        <v>#N/A</v>
      </c>
    </row>
    <row r="2062" spans="1:2">
      <c r="A2062">
        <f>Prices!A2068</f>
        <v>0</v>
      </c>
      <c r="B2062" s="470" t="e">
        <f>IF('Flow Indicator Parts List'!$D$2="CDN$",_xlfn.XLOOKUP(A2062,Prices!A:A,Prices!D:D),IF('Flow Indicator Parts List'!$D$2="US$",_xlfn.XLOOKUP(CurrencyModifier!A2062,Prices!A:A,Prices!E:E,"MISSING")))</f>
        <v>#N/A</v>
      </c>
    </row>
    <row r="2063" spans="1:2">
      <c r="A2063">
        <f>Prices!A2069</f>
        <v>0</v>
      </c>
      <c r="B2063" s="470" t="e">
        <f>IF('Flow Indicator Parts List'!$D$2="CDN$",_xlfn.XLOOKUP(A2063,Prices!A:A,Prices!D:D),IF('Flow Indicator Parts List'!$D$2="US$",_xlfn.XLOOKUP(CurrencyModifier!A2063,Prices!A:A,Prices!E:E,"MISSING")))</f>
        <v>#N/A</v>
      </c>
    </row>
    <row r="2064" spans="1:2">
      <c r="A2064">
        <f>Prices!A2070</f>
        <v>0</v>
      </c>
      <c r="B2064" s="470" t="e">
        <f>IF('Flow Indicator Parts List'!$D$2="CDN$",_xlfn.XLOOKUP(A2064,Prices!A:A,Prices!D:D),IF('Flow Indicator Parts List'!$D$2="US$",_xlfn.XLOOKUP(CurrencyModifier!A2064,Prices!A:A,Prices!E:E,"MISSING")))</f>
        <v>#N/A</v>
      </c>
    </row>
    <row r="2065" spans="1:2">
      <c r="A2065">
        <f>Prices!A2071</f>
        <v>0</v>
      </c>
      <c r="B2065" s="470" t="e">
        <f>IF('Flow Indicator Parts List'!$D$2="CDN$",_xlfn.XLOOKUP(A2065,Prices!A:A,Prices!D:D),IF('Flow Indicator Parts List'!$D$2="US$",_xlfn.XLOOKUP(CurrencyModifier!A2065,Prices!A:A,Prices!E:E,"MISSING")))</f>
        <v>#N/A</v>
      </c>
    </row>
    <row r="2066" spans="1:2">
      <c r="A2066">
        <f>Prices!A2072</f>
        <v>0</v>
      </c>
      <c r="B2066" s="470" t="e">
        <f>IF('Flow Indicator Parts List'!$D$2="CDN$",_xlfn.XLOOKUP(A2066,Prices!A:A,Prices!D:D),IF('Flow Indicator Parts List'!$D$2="US$",_xlfn.XLOOKUP(CurrencyModifier!A2066,Prices!A:A,Prices!E:E,"MISSING")))</f>
        <v>#N/A</v>
      </c>
    </row>
    <row r="2067" spans="1:2">
      <c r="A2067">
        <f>Prices!A2073</f>
        <v>0</v>
      </c>
      <c r="B2067" s="470" t="e">
        <f>IF('Flow Indicator Parts List'!$D$2="CDN$",_xlfn.XLOOKUP(A2067,Prices!A:A,Prices!D:D),IF('Flow Indicator Parts List'!$D$2="US$",_xlfn.XLOOKUP(CurrencyModifier!A2067,Prices!A:A,Prices!E:E,"MISSING")))</f>
        <v>#N/A</v>
      </c>
    </row>
    <row r="2068" spans="1:2">
      <c r="A2068">
        <f>Prices!A2074</f>
        <v>0</v>
      </c>
      <c r="B2068" s="470" t="e">
        <f>IF('Flow Indicator Parts List'!$D$2="CDN$",_xlfn.XLOOKUP(A2068,Prices!A:A,Prices!D:D),IF('Flow Indicator Parts List'!$D$2="US$",_xlfn.XLOOKUP(CurrencyModifier!A2068,Prices!A:A,Prices!E:E,"MISSING")))</f>
        <v>#N/A</v>
      </c>
    </row>
    <row r="2069" spans="1:2">
      <c r="A2069">
        <f>Prices!A2075</f>
        <v>0</v>
      </c>
      <c r="B2069" s="470" t="e">
        <f>IF('Flow Indicator Parts List'!$D$2="CDN$",_xlfn.XLOOKUP(A2069,Prices!A:A,Prices!D:D),IF('Flow Indicator Parts List'!$D$2="US$",_xlfn.XLOOKUP(CurrencyModifier!A2069,Prices!A:A,Prices!E:E,"MISSING")))</f>
        <v>#N/A</v>
      </c>
    </row>
    <row r="2070" spans="1:2">
      <c r="A2070">
        <f>Prices!A2076</f>
        <v>0</v>
      </c>
      <c r="B2070" s="470" t="e">
        <f>IF('Flow Indicator Parts List'!$D$2="CDN$",_xlfn.XLOOKUP(A2070,Prices!A:A,Prices!D:D),IF('Flow Indicator Parts List'!$D$2="US$",_xlfn.XLOOKUP(CurrencyModifier!A2070,Prices!A:A,Prices!E:E,"MISSING")))</f>
        <v>#N/A</v>
      </c>
    </row>
    <row r="2071" spans="1:2">
      <c r="A2071">
        <f>Prices!A2077</f>
        <v>0</v>
      </c>
      <c r="B2071" s="470" t="e">
        <f>IF('Flow Indicator Parts List'!$D$2="CDN$",_xlfn.XLOOKUP(A2071,Prices!A:A,Prices!D:D),IF('Flow Indicator Parts List'!$D$2="US$",_xlfn.XLOOKUP(CurrencyModifier!A2071,Prices!A:A,Prices!E:E,"MISSING")))</f>
        <v>#N/A</v>
      </c>
    </row>
    <row r="2072" spans="1:2">
      <c r="A2072">
        <f>Prices!A2078</f>
        <v>0</v>
      </c>
      <c r="B2072" s="470" t="e">
        <f>IF('Flow Indicator Parts List'!$D$2="CDN$",_xlfn.XLOOKUP(A2072,Prices!A:A,Prices!D:D),IF('Flow Indicator Parts List'!$D$2="US$",_xlfn.XLOOKUP(CurrencyModifier!A2072,Prices!A:A,Prices!E:E,"MISSING")))</f>
        <v>#N/A</v>
      </c>
    </row>
    <row r="2073" spans="1:2">
      <c r="A2073">
        <f>Prices!A2079</f>
        <v>0</v>
      </c>
      <c r="B2073" s="470" t="e">
        <f>IF('Flow Indicator Parts List'!$D$2="CDN$",_xlfn.XLOOKUP(A2073,Prices!A:A,Prices!D:D),IF('Flow Indicator Parts List'!$D$2="US$",_xlfn.XLOOKUP(CurrencyModifier!A2073,Prices!A:A,Prices!E:E,"MISSING")))</f>
        <v>#N/A</v>
      </c>
    </row>
    <row r="2074" spans="1:2">
      <c r="A2074">
        <f>Prices!A2080</f>
        <v>0</v>
      </c>
      <c r="B2074" s="470" t="e">
        <f>IF('Flow Indicator Parts List'!$D$2="CDN$",_xlfn.XLOOKUP(A2074,Prices!A:A,Prices!D:D),IF('Flow Indicator Parts List'!$D$2="US$",_xlfn.XLOOKUP(CurrencyModifier!A2074,Prices!A:A,Prices!E:E,"MISSING")))</f>
        <v>#N/A</v>
      </c>
    </row>
    <row r="2075" spans="1:2">
      <c r="A2075">
        <f>Prices!A2081</f>
        <v>0</v>
      </c>
      <c r="B2075" s="470" t="e">
        <f>IF('Flow Indicator Parts List'!$D$2="CDN$",_xlfn.XLOOKUP(A2075,Prices!A:A,Prices!D:D),IF('Flow Indicator Parts List'!$D$2="US$",_xlfn.XLOOKUP(CurrencyModifier!A2075,Prices!A:A,Prices!E:E,"MISSING")))</f>
        <v>#N/A</v>
      </c>
    </row>
    <row r="2076" spans="1:2">
      <c r="A2076">
        <f>Prices!A2082</f>
        <v>0</v>
      </c>
      <c r="B2076" s="470" t="e">
        <f>IF('Flow Indicator Parts List'!$D$2="CDN$",_xlfn.XLOOKUP(A2076,Prices!A:A,Prices!D:D),IF('Flow Indicator Parts List'!$D$2="US$",_xlfn.XLOOKUP(CurrencyModifier!A2076,Prices!A:A,Prices!E:E,"MISSING")))</f>
        <v>#N/A</v>
      </c>
    </row>
    <row r="2077" spans="1:2">
      <c r="A2077">
        <f>Prices!A2083</f>
        <v>0</v>
      </c>
      <c r="B2077" s="470" t="e">
        <f>IF('Flow Indicator Parts List'!$D$2="CDN$",_xlfn.XLOOKUP(A2077,Prices!A:A,Prices!D:D),IF('Flow Indicator Parts List'!$D$2="US$",_xlfn.XLOOKUP(CurrencyModifier!A2077,Prices!A:A,Prices!E:E,"MISSING")))</f>
        <v>#N/A</v>
      </c>
    </row>
    <row r="2078" spans="1:2">
      <c r="A2078">
        <f>Prices!A2084</f>
        <v>0</v>
      </c>
      <c r="B2078" s="470" t="e">
        <f>IF('Flow Indicator Parts List'!$D$2="CDN$",_xlfn.XLOOKUP(A2078,Prices!A:A,Prices!D:D),IF('Flow Indicator Parts List'!$D$2="US$",_xlfn.XLOOKUP(CurrencyModifier!A2078,Prices!A:A,Prices!E:E,"MISSING")))</f>
        <v>#N/A</v>
      </c>
    </row>
    <row r="2079" spans="1:2">
      <c r="A2079">
        <f>Prices!A2085</f>
        <v>0</v>
      </c>
      <c r="B2079" s="470" t="e">
        <f>IF('Flow Indicator Parts List'!$D$2="CDN$",_xlfn.XLOOKUP(A2079,Prices!A:A,Prices!D:D),IF('Flow Indicator Parts List'!$D$2="US$",_xlfn.XLOOKUP(CurrencyModifier!A2079,Prices!A:A,Prices!E:E,"MISSING")))</f>
        <v>#N/A</v>
      </c>
    </row>
    <row r="2080" spans="1:2">
      <c r="A2080">
        <f>Prices!A2086</f>
        <v>0</v>
      </c>
      <c r="B2080" s="470" t="e">
        <f>IF('Flow Indicator Parts List'!$D$2="CDN$",_xlfn.XLOOKUP(A2080,Prices!A:A,Prices!D:D),IF('Flow Indicator Parts List'!$D$2="US$",_xlfn.XLOOKUP(CurrencyModifier!A2080,Prices!A:A,Prices!E:E,"MISSING")))</f>
        <v>#N/A</v>
      </c>
    </row>
    <row r="2081" spans="1:2">
      <c r="A2081">
        <f>Prices!A2087</f>
        <v>0</v>
      </c>
      <c r="B2081" s="470" t="e">
        <f>IF('Flow Indicator Parts List'!$D$2="CDN$",_xlfn.XLOOKUP(A2081,Prices!A:A,Prices!D:D),IF('Flow Indicator Parts List'!$D$2="US$",_xlfn.XLOOKUP(CurrencyModifier!A2081,Prices!A:A,Prices!E:E,"MISSING")))</f>
        <v>#N/A</v>
      </c>
    </row>
    <row r="2082" spans="1:2">
      <c r="A2082">
        <f>Prices!A2088</f>
        <v>0</v>
      </c>
      <c r="B2082" s="470" t="e">
        <f>IF('Flow Indicator Parts List'!$D$2="CDN$",_xlfn.XLOOKUP(A2082,Prices!A:A,Prices!D:D),IF('Flow Indicator Parts List'!$D$2="US$",_xlfn.XLOOKUP(CurrencyModifier!A2082,Prices!A:A,Prices!E:E,"MISSING")))</f>
        <v>#N/A</v>
      </c>
    </row>
    <row r="2083" spans="1:2">
      <c r="A2083">
        <f>Prices!A2089</f>
        <v>0</v>
      </c>
      <c r="B2083" s="470" t="e">
        <f>IF('Flow Indicator Parts List'!$D$2="CDN$",_xlfn.XLOOKUP(A2083,Prices!A:A,Prices!D:D),IF('Flow Indicator Parts List'!$D$2="US$",_xlfn.XLOOKUP(CurrencyModifier!A2083,Prices!A:A,Prices!E:E,"MISSING")))</f>
        <v>#N/A</v>
      </c>
    </row>
    <row r="2084" spans="1:2">
      <c r="A2084">
        <f>Prices!A2090</f>
        <v>0</v>
      </c>
      <c r="B2084" s="470" t="e">
        <f>IF('Flow Indicator Parts List'!$D$2="CDN$",_xlfn.XLOOKUP(A2084,Prices!A:A,Prices!D:D),IF('Flow Indicator Parts List'!$D$2="US$",_xlfn.XLOOKUP(CurrencyModifier!A2084,Prices!A:A,Prices!E:E,"MISSING")))</f>
        <v>#N/A</v>
      </c>
    </row>
    <row r="2085" spans="1:2">
      <c r="A2085">
        <f>Prices!A2091</f>
        <v>0</v>
      </c>
      <c r="B2085" s="470" t="e">
        <f>IF('Flow Indicator Parts List'!$D$2="CDN$",_xlfn.XLOOKUP(A2085,Prices!A:A,Prices!D:D),IF('Flow Indicator Parts List'!$D$2="US$",_xlfn.XLOOKUP(CurrencyModifier!A2085,Prices!A:A,Prices!E:E,"MISSING")))</f>
        <v>#N/A</v>
      </c>
    </row>
    <row r="2086" spans="1:2">
      <c r="A2086">
        <f>Prices!A2092</f>
        <v>0</v>
      </c>
      <c r="B2086" s="470" t="e">
        <f>IF('Flow Indicator Parts List'!$D$2="CDN$",_xlfn.XLOOKUP(A2086,Prices!A:A,Prices!D:D),IF('Flow Indicator Parts List'!$D$2="US$",_xlfn.XLOOKUP(CurrencyModifier!A2086,Prices!A:A,Prices!E:E,"MISSING")))</f>
        <v>#N/A</v>
      </c>
    </row>
    <row r="2087" spans="1:2">
      <c r="A2087">
        <f>Prices!A2093</f>
        <v>0</v>
      </c>
      <c r="B2087" s="470" t="e">
        <f>IF('Flow Indicator Parts List'!$D$2="CDN$",_xlfn.XLOOKUP(A2087,Prices!A:A,Prices!D:D),IF('Flow Indicator Parts List'!$D$2="US$",_xlfn.XLOOKUP(CurrencyModifier!A2087,Prices!A:A,Prices!E:E,"MISSING")))</f>
        <v>#N/A</v>
      </c>
    </row>
    <row r="2088" spans="1:2">
      <c r="A2088">
        <f>Prices!A2094</f>
        <v>0</v>
      </c>
      <c r="B2088" s="470" t="e">
        <f>IF('Flow Indicator Parts List'!$D$2="CDN$",_xlfn.XLOOKUP(A2088,Prices!A:A,Prices!D:D),IF('Flow Indicator Parts List'!$D$2="US$",_xlfn.XLOOKUP(CurrencyModifier!A2088,Prices!A:A,Prices!E:E,"MISSING")))</f>
        <v>#N/A</v>
      </c>
    </row>
    <row r="2089" spans="1:2">
      <c r="A2089">
        <f>Prices!A2095</f>
        <v>0</v>
      </c>
      <c r="B2089" s="470" t="e">
        <f>IF('Flow Indicator Parts List'!$D$2="CDN$",_xlfn.XLOOKUP(A2089,Prices!A:A,Prices!D:D),IF('Flow Indicator Parts List'!$D$2="US$",_xlfn.XLOOKUP(CurrencyModifier!A2089,Prices!A:A,Prices!E:E,"MISSING")))</f>
        <v>#N/A</v>
      </c>
    </row>
    <row r="2090" spans="1:2">
      <c r="A2090">
        <f>Prices!A2096</f>
        <v>0</v>
      </c>
      <c r="B2090" s="470" t="e">
        <f>IF('Flow Indicator Parts List'!$D$2="CDN$",_xlfn.XLOOKUP(A2090,Prices!A:A,Prices!D:D),IF('Flow Indicator Parts List'!$D$2="US$",_xlfn.XLOOKUP(CurrencyModifier!A2090,Prices!A:A,Prices!E:E,"MISSING")))</f>
        <v>#N/A</v>
      </c>
    </row>
    <row r="2091" spans="1:2">
      <c r="A2091">
        <f>Prices!A2097</f>
        <v>0</v>
      </c>
      <c r="B2091" s="470" t="e">
        <f>IF('Flow Indicator Parts List'!$D$2="CDN$",_xlfn.XLOOKUP(A2091,Prices!A:A,Prices!D:D),IF('Flow Indicator Parts List'!$D$2="US$",_xlfn.XLOOKUP(CurrencyModifier!A2091,Prices!A:A,Prices!E:E,"MISSING")))</f>
        <v>#N/A</v>
      </c>
    </row>
    <row r="2092" spans="1:2">
      <c r="A2092">
        <f>Prices!A2098</f>
        <v>0</v>
      </c>
      <c r="B2092" s="470" t="e">
        <f>IF('Flow Indicator Parts List'!$D$2="CDN$",_xlfn.XLOOKUP(A2092,Prices!A:A,Prices!D:D),IF('Flow Indicator Parts List'!$D$2="US$",_xlfn.XLOOKUP(CurrencyModifier!A2092,Prices!A:A,Prices!E:E,"MISSING")))</f>
        <v>#N/A</v>
      </c>
    </row>
    <row r="2093" spans="1:2">
      <c r="A2093">
        <f>Prices!A2099</f>
        <v>0</v>
      </c>
      <c r="B2093" s="470" t="e">
        <f>IF('Flow Indicator Parts List'!$D$2="CDN$",_xlfn.XLOOKUP(A2093,Prices!A:A,Prices!D:D),IF('Flow Indicator Parts List'!$D$2="US$",_xlfn.XLOOKUP(CurrencyModifier!A2093,Prices!A:A,Prices!E:E,"MISSING")))</f>
        <v>#N/A</v>
      </c>
    </row>
    <row r="2094" spans="1:2">
      <c r="A2094">
        <f>Prices!A2100</f>
        <v>0</v>
      </c>
      <c r="B2094" s="470" t="e">
        <f>IF('Flow Indicator Parts List'!$D$2="CDN$",_xlfn.XLOOKUP(A2094,Prices!A:A,Prices!D:D),IF('Flow Indicator Parts List'!$D$2="US$",_xlfn.XLOOKUP(CurrencyModifier!A2094,Prices!A:A,Prices!E:E,"MISSING")))</f>
        <v>#N/A</v>
      </c>
    </row>
    <row r="2095" spans="1:2">
      <c r="A2095">
        <f>Prices!A2101</f>
        <v>0</v>
      </c>
      <c r="B2095" s="470" t="e">
        <f>IF('Flow Indicator Parts List'!$D$2="CDN$",_xlfn.XLOOKUP(A2095,Prices!A:A,Prices!D:D),IF('Flow Indicator Parts List'!$D$2="US$",_xlfn.XLOOKUP(CurrencyModifier!A2095,Prices!A:A,Prices!E:E,"MISSING")))</f>
        <v>#N/A</v>
      </c>
    </row>
    <row r="2096" spans="1:2">
      <c r="A2096">
        <f>Prices!A2102</f>
        <v>0</v>
      </c>
      <c r="B2096" s="470" t="e">
        <f>IF('Flow Indicator Parts List'!$D$2="CDN$",_xlfn.XLOOKUP(A2096,Prices!A:A,Prices!D:D),IF('Flow Indicator Parts List'!$D$2="US$",_xlfn.XLOOKUP(CurrencyModifier!A2096,Prices!A:A,Prices!E:E,"MISSING")))</f>
        <v>#N/A</v>
      </c>
    </row>
    <row r="2097" spans="1:2">
      <c r="A2097">
        <f>Prices!A2103</f>
        <v>0</v>
      </c>
      <c r="B2097" s="470" t="e">
        <f>IF('Flow Indicator Parts List'!$D$2="CDN$",_xlfn.XLOOKUP(A2097,Prices!A:A,Prices!D:D),IF('Flow Indicator Parts List'!$D$2="US$",_xlfn.XLOOKUP(CurrencyModifier!A2097,Prices!A:A,Prices!E:E,"MISSING")))</f>
        <v>#N/A</v>
      </c>
    </row>
    <row r="2098" spans="1:2">
      <c r="A2098">
        <f>Prices!A2104</f>
        <v>0</v>
      </c>
      <c r="B2098" s="470" t="e">
        <f>IF('Flow Indicator Parts List'!$D$2="CDN$",_xlfn.XLOOKUP(A2098,Prices!A:A,Prices!D:D),IF('Flow Indicator Parts List'!$D$2="US$",_xlfn.XLOOKUP(CurrencyModifier!A2098,Prices!A:A,Prices!E:E,"MISSING")))</f>
        <v>#N/A</v>
      </c>
    </row>
    <row r="2099" spans="1:2">
      <c r="A2099">
        <f>Prices!A2105</f>
        <v>0</v>
      </c>
      <c r="B2099" s="470" t="e">
        <f>IF('Flow Indicator Parts List'!$D$2="CDN$",_xlfn.XLOOKUP(A2099,Prices!A:A,Prices!D:D),IF('Flow Indicator Parts List'!$D$2="US$",_xlfn.XLOOKUP(CurrencyModifier!A2099,Prices!A:A,Prices!E:E,"MISSING")))</f>
        <v>#N/A</v>
      </c>
    </row>
    <row r="2100" spans="1:2">
      <c r="A2100">
        <f>Prices!A2106</f>
        <v>0</v>
      </c>
      <c r="B2100" s="470" t="e">
        <f>IF('Flow Indicator Parts List'!$D$2="CDN$",_xlfn.XLOOKUP(A2100,Prices!A:A,Prices!D:D),IF('Flow Indicator Parts List'!$D$2="US$",_xlfn.XLOOKUP(CurrencyModifier!A2100,Prices!A:A,Prices!E:E,"MISSING")))</f>
        <v>#N/A</v>
      </c>
    </row>
    <row r="2101" spans="1:2">
      <c r="A2101">
        <f>Prices!A2107</f>
        <v>0</v>
      </c>
      <c r="B2101" s="470" t="e">
        <f>IF('Flow Indicator Parts List'!$D$2="CDN$",_xlfn.XLOOKUP(A2101,Prices!A:A,Prices!D:D),IF('Flow Indicator Parts List'!$D$2="US$",_xlfn.XLOOKUP(CurrencyModifier!A2101,Prices!A:A,Prices!E:E,"MISSING")))</f>
        <v>#N/A</v>
      </c>
    </row>
    <row r="2102" spans="1:2">
      <c r="A2102">
        <f>Prices!A2108</f>
        <v>0</v>
      </c>
      <c r="B2102" s="470" t="e">
        <f>IF('Flow Indicator Parts List'!$D$2="CDN$",_xlfn.XLOOKUP(A2102,Prices!A:A,Prices!D:D),IF('Flow Indicator Parts List'!$D$2="US$",_xlfn.XLOOKUP(CurrencyModifier!A2102,Prices!A:A,Prices!E:E,"MISSING")))</f>
        <v>#N/A</v>
      </c>
    </row>
    <row r="2103" spans="1:2">
      <c r="A2103">
        <f>Prices!A2109</f>
        <v>0</v>
      </c>
      <c r="B2103" s="470" t="e">
        <f>IF('Flow Indicator Parts List'!$D$2="CDN$",_xlfn.XLOOKUP(A2103,Prices!A:A,Prices!D:D),IF('Flow Indicator Parts List'!$D$2="US$",_xlfn.XLOOKUP(CurrencyModifier!A2103,Prices!A:A,Prices!E:E,"MISSING")))</f>
        <v>#N/A</v>
      </c>
    </row>
    <row r="2104" spans="1:2">
      <c r="A2104">
        <f>Prices!A2110</f>
        <v>0</v>
      </c>
      <c r="B2104" s="470" t="e">
        <f>IF('Flow Indicator Parts List'!$D$2="CDN$",_xlfn.XLOOKUP(A2104,Prices!A:A,Prices!D:D),IF('Flow Indicator Parts List'!$D$2="US$",_xlfn.XLOOKUP(CurrencyModifier!A2104,Prices!A:A,Prices!E:E,"MISSING")))</f>
        <v>#N/A</v>
      </c>
    </row>
    <row r="2105" spans="1:2">
      <c r="A2105">
        <f>Prices!A2111</f>
        <v>0</v>
      </c>
      <c r="B2105" s="470" t="e">
        <f>IF('Flow Indicator Parts List'!$D$2="CDN$",_xlfn.XLOOKUP(A2105,Prices!A:A,Prices!D:D),IF('Flow Indicator Parts List'!$D$2="US$",_xlfn.XLOOKUP(CurrencyModifier!A2105,Prices!A:A,Prices!E:E,"MISSING")))</f>
        <v>#N/A</v>
      </c>
    </row>
    <row r="2106" spans="1:2">
      <c r="A2106">
        <f>Prices!A2112</f>
        <v>0</v>
      </c>
      <c r="B2106" s="470" t="e">
        <f>IF('Flow Indicator Parts List'!$D$2="CDN$",_xlfn.XLOOKUP(A2106,Prices!A:A,Prices!D:D),IF('Flow Indicator Parts List'!$D$2="US$",_xlfn.XLOOKUP(CurrencyModifier!A2106,Prices!A:A,Prices!E:E,"MISSING")))</f>
        <v>#N/A</v>
      </c>
    </row>
    <row r="2107" spans="1:2">
      <c r="A2107">
        <f>Prices!A2113</f>
        <v>0</v>
      </c>
      <c r="B2107" s="470" t="e">
        <f>IF('Flow Indicator Parts List'!$D$2="CDN$",_xlfn.XLOOKUP(A2107,Prices!A:A,Prices!D:D),IF('Flow Indicator Parts List'!$D$2="US$",_xlfn.XLOOKUP(CurrencyModifier!A2107,Prices!A:A,Prices!E:E,"MISSING")))</f>
        <v>#N/A</v>
      </c>
    </row>
    <row r="2108" spans="1:2">
      <c r="A2108">
        <f>Prices!A2114</f>
        <v>0</v>
      </c>
      <c r="B2108" s="470" t="e">
        <f>IF('Flow Indicator Parts List'!$D$2="CDN$",_xlfn.XLOOKUP(A2108,Prices!A:A,Prices!D:D),IF('Flow Indicator Parts List'!$D$2="US$",_xlfn.XLOOKUP(CurrencyModifier!A2108,Prices!A:A,Prices!E:E,"MISSING")))</f>
        <v>#N/A</v>
      </c>
    </row>
    <row r="2109" spans="1:2">
      <c r="A2109">
        <f>Prices!A2115</f>
        <v>0</v>
      </c>
      <c r="B2109" s="470" t="e">
        <f>IF('Flow Indicator Parts List'!$D$2="CDN$",_xlfn.XLOOKUP(A2109,Prices!A:A,Prices!D:D),IF('Flow Indicator Parts List'!$D$2="US$",_xlfn.XLOOKUP(CurrencyModifier!A2109,Prices!A:A,Prices!E:E,"MISSING")))</f>
        <v>#N/A</v>
      </c>
    </row>
    <row r="2110" spans="1:2">
      <c r="A2110">
        <f>Prices!A2116</f>
        <v>0</v>
      </c>
      <c r="B2110" s="470" t="e">
        <f>IF('Flow Indicator Parts List'!$D$2="CDN$",_xlfn.XLOOKUP(A2110,Prices!A:A,Prices!D:D),IF('Flow Indicator Parts List'!$D$2="US$",_xlfn.XLOOKUP(CurrencyModifier!A2110,Prices!A:A,Prices!E:E,"MISSING")))</f>
        <v>#N/A</v>
      </c>
    </row>
    <row r="2111" spans="1:2">
      <c r="A2111">
        <f>Prices!A2117</f>
        <v>0</v>
      </c>
      <c r="B2111" s="470" t="e">
        <f>IF('Flow Indicator Parts List'!$D$2="CDN$",_xlfn.XLOOKUP(A2111,Prices!A:A,Prices!D:D),IF('Flow Indicator Parts List'!$D$2="US$",_xlfn.XLOOKUP(CurrencyModifier!A2111,Prices!A:A,Prices!E:E,"MISSING")))</f>
        <v>#N/A</v>
      </c>
    </row>
    <row r="2112" spans="1:2">
      <c r="A2112">
        <f>Prices!A2118</f>
        <v>0</v>
      </c>
      <c r="B2112" s="470" t="e">
        <f>IF('Flow Indicator Parts List'!$D$2="CDN$",_xlfn.XLOOKUP(A2112,Prices!A:A,Prices!D:D),IF('Flow Indicator Parts List'!$D$2="US$",_xlfn.XLOOKUP(CurrencyModifier!A2112,Prices!A:A,Prices!E:E,"MISSING")))</f>
        <v>#N/A</v>
      </c>
    </row>
    <row r="2113" spans="1:2">
      <c r="A2113">
        <f>Prices!A2119</f>
        <v>0</v>
      </c>
      <c r="B2113" s="470" t="e">
        <f>IF('Flow Indicator Parts List'!$D$2="CDN$",_xlfn.XLOOKUP(A2113,Prices!A:A,Prices!D:D),IF('Flow Indicator Parts List'!$D$2="US$",_xlfn.XLOOKUP(CurrencyModifier!A2113,Prices!A:A,Prices!E:E,"MISSING")))</f>
        <v>#N/A</v>
      </c>
    </row>
    <row r="2114" spans="1:2">
      <c r="A2114">
        <f>Prices!A2120</f>
        <v>0</v>
      </c>
      <c r="B2114" s="470" t="e">
        <f>IF('Flow Indicator Parts List'!$D$2="CDN$",_xlfn.XLOOKUP(A2114,Prices!A:A,Prices!D:D),IF('Flow Indicator Parts List'!$D$2="US$",_xlfn.XLOOKUP(CurrencyModifier!A2114,Prices!A:A,Prices!E:E,"MISSING")))</f>
        <v>#N/A</v>
      </c>
    </row>
    <row r="2115" spans="1:2">
      <c r="A2115">
        <f>Prices!A2121</f>
        <v>0</v>
      </c>
      <c r="B2115" s="470" t="e">
        <f>IF('Flow Indicator Parts List'!$D$2="CDN$",_xlfn.XLOOKUP(A2115,Prices!A:A,Prices!D:D),IF('Flow Indicator Parts List'!$D$2="US$",_xlfn.XLOOKUP(CurrencyModifier!A2115,Prices!A:A,Prices!E:E,"MISSING")))</f>
        <v>#N/A</v>
      </c>
    </row>
    <row r="2116" spans="1:2">
      <c r="A2116">
        <f>Prices!A2122</f>
        <v>0</v>
      </c>
      <c r="B2116" s="470" t="e">
        <f>IF('Flow Indicator Parts List'!$D$2="CDN$",_xlfn.XLOOKUP(A2116,Prices!A:A,Prices!D:D),IF('Flow Indicator Parts List'!$D$2="US$",_xlfn.XLOOKUP(CurrencyModifier!A2116,Prices!A:A,Prices!E:E,"MISSING")))</f>
        <v>#N/A</v>
      </c>
    </row>
    <row r="2117" spans="1:2">
      <c r="A2117">
        <f>Prices!A2123</f>
        <v>0</v>
      </c>
      <c r="B2117" s="470" t="e">
        <f>IF('Flow Indicator Parts List'!$D$2="CDN$",_xlfn.XLOOKUP(A2117,Prices!A:A,Prices!D:D),IF('Flow Indicator Parts List'!$D$2="US$",_xlfn.XLOOKUP(CurrencyModifier!A2117,Prices!A:A,Prices!E:E,"MISSING")))</f>
        <v>#N/A</v>
      </c>
    </row>
    <row r="2118" spans="1:2">
      <c r="A2118">
        <f>Prices!A2124</f>
        <v>0</v>
      </c>
      <c r="B2118" s="470" t="e">
        <f>IF('Flow Indicator Parts List'!$D$2="CDN$",_xlfn.XLOOKUP(A2118,Prices!A:A,Prices!D:D),IF('Flow Indicator Parts List'!$D$2="US$",_xlfn.XLOOKUP(CurrencyModifier!A2118,Prices!A:A,Prices!E:E,"MISSING")))</f>
        <v>#N/A</v>
      </c>
    </row>
    <row r="2119" spans="1:2">
      <c r="A2119">
        <f>Prices!A2125</f>
        <v>0</v>
      </c>
      <c r="B2119" s="470" t="e">
        <f>IF('Flow Indicator Parts List'!$D$2="CDN$",_xlfn.XLOOKUP(A2119,Prices!A:A,Prices!D:D),IF('Flow Indicator Parts List'!$D$2="US$",_xlfn.XLOOKUP(CurrencyModifier!A2119,Prices!A:A,Prices!E:E,"MISSING")))</f>
        <v>#N/A</v>
      </c>
    </row>
    <row r="2120" spans="1:2">
      <c r="A2120">
        <f>Prices!A2126</f>
        <v>0</v>
      </c>
      <c r="B2120" s="470" t="e">
        <f>IF('Flow Indicator Parts List'!$D$2="CDN$",_xlfn.XLOOKUP(A2120,Prices!A:A,Prices!D:D),IF('Flow Indicator Parts List'!$D$2="US$",_xlfn.XLOOKUP(CurrencyModifier!A2120,Prices!A:A,Prices!E:E,"MISSING")))</f>
        <v>#N/A</v>
      </c>
    </row>
    <row r="2121" spans="1:2">
      <c r="A2121">
        <f>Prices!A2127</f>
        <v>0</v>
      </c>
      <c r="B2121" s="470" t="e">
        <f>IF('Flow Indicator Parts List'!$D$2="CDN$",_xlfn.XLOOKUP(A2121,Prices!A:A,Prices!D:D),IF('Flow Indicator Parts List'!$D$2="US$",_xlfn.XLOOKUP(CurrencyModifier!A2121,Prices!A:A,Prices!E:E,"MISSING")))</f>
        <v>#N/A</v>
      </c>
    </row>
    <row r="2122" spans="1:2">
      <c r="A2122">
        <f>Prices!A2128</f>
        <v>0</v>
      </c>
      <c r="B2122" s="470" t="e">
        <f>IF('Flow Indicator Parts List'!$D$2="CDN$",_xlfn.XLOOKUP(A2122,Prices!A:A,Prices!D:D),IF('Flow Indicator Parts List'!$D$2="US$",_xlfn.XLOOKUP(CurrencyModifier!A2122,Prices!A:A,Prices!E:E,"MISSING")))</f>
        <v>#N/A</v>
      </c>
    </row>
    <row r="2123" spans="1:2">
      <c r="A2123">
        <f>Prices!A2129</f>
        <v>0</v>
      </c>
      <c r="B2123" s="470" t="e">
        <f>IF('Flow Indicator Parts List'!$D$2="CDN$",_xlfn.XLOOKUP(A2123,Prices!A:A,Prices!D:D),IF('Flow Indicator Parts List'!$D$2="US$",_xlfn.XLOOKUP(CurrencyModifier!A2123,Prices!A:A,Prices!E:E,"MISSING")))</f>
        <v>#N/A</v>
      </c>
    </row>
    <row r="2124" spans="1:2">
      <c r="A2124">
        <f>Prices!A2130</f>
        <v>0</v>
      </c>
      <c r="B2124" s="470" t="e">
        <f>IF('Flow Indicator Parts List'!$D$2="CDN$",_xlfn.XLOOKUP(A2124,Prices!A:A,Prices!D:D),IF('Flow Indicator Parts List'!$D$2="US$",_xlfn.XLOOKUP(CurrencyModifier!A2124,Prices!A:A,Prices!E:E,"MISSING")))</f>
        <v>#N/A</v>
      </c>
    </row>
    <row r="2125" spans="1:2">
      <c r="A2125">
        <f>Prices!A2131</f>
        <v>0</v>
      </c>
      <c r="B2125" s="470" t="e">
        <f>IF('Flow Indicator Parts List'!$D$2="CDN$",_xlfn.XLOOKUP(A2125,Prices!A:A,Prices!D:D),IF('Flow Indicator Parts List'!$D$2="US$",_xlfn.XLOOKUP(CurrencyModifier!A2125,Prices!A:A,Prices!E:E,"MISSING")))</f>
        <v>#N/A</v>
      </c>
    </row>
    <row r="2126" spans="1:2">
      <c r="A2126">
        <f>Prices!A2132</f>
        <v>0</v>
      </c>
      <c r="B2126" s="470" t="e">
        <f>IF('Flow Indicator Parts List'!$D$2="CDN$",_xlfn.XLOOKUP(A2126,Prices!A:A,Prices!D:D),IF('Flow Indicator Parts List'!$D$2="US$",_xlfn.XLOOKUP(CurrencyModifier!A2126,Prices!A:A,Prices!E:E,"MISSING")))</f>
        <v>#N/A</v>
      </c>
    </row>
    <row r="2127" spans="1:2">
      <c r="A2127">
        <f>Prices!A2133</f>
        <v>0</v>
      </c>
      <c r="B2127" s="470" t="e">
        <f>IF('Flow Indicator Parts List'!$D$2="CDN$",_xlfn.XLOOKUP(A2127,Prices!A:A,Prices!D:D),IF('Flow Indicator Parts List'!$D$2="US$",_xlfn.XLOOKUP(CurrencyModifier!A2127,Prices!A:A,Prices!E:E,"MISSING")))</f>
        <v>#N/A</v>
      </c>
    </row>
    <row r="2128" spans="1:2">
      <c r="A2128">
        <f>Prices!A2134</f>
        <v>0</v>
      </c>
      <c r="B2128" s="470" t="e">
        <f>IF('Flow Indicator Parts List'!$D$2="CDN$",_xlfn.XLOOKUP(A2128,Prices!A:A,Prices!D:D),IF('Flow Indicator Parts List'!$D$2="US$",_xlfn.XLOOKUP(CurrencyModifier!A2128,Prices!A:A,Prices!E:E,"MISSING")))</f>
        <v>#N/A</v>
      </c>
    </row>
    <row r="2129" spans="1:2">
      <c r="A2129">
        <f>Prices!A2135</f>
        <v>0</v>
      </c>
      <c r="B2129" s="470" t="e">
        <f>IF('Flow Indicator Parts List'!$D$2="CDN$",_xlfn.XLOOKUP(A2129,Prices!A:A,Prices!D:D),IF('Flow Indicator Parts List'!$D$2="US$",_xlfn.XLOOKUP(CurrencyModifier!A2129,Prices!A:A,Prices!E:E,"MISSING")))</f>
        <v>#N/A</v>
      </c>
    </row>
    <row r="2130" spans="1:2">
      <c r="A2130">
        <f>Prices!A2136</f>
        <v>0</v>
      </c>
      <c r="B2130" s="470" t="e">
        <f>IF('Flow Indicator Parts List'!$D$2="CDN$",_xlfn.XLOOKUP(A2130,Prices!A:A,Prices!D:D),IF('Flow Indicator Parts List'!$D$2="US$",_xlfn.XLOOKUP(CurrencyModifier!A2130,Prices!A:A,Prices!E:E,"MISSING")))</f>
        <v>#N/A</v>
      </c>
    </row>
    <row r="2131" spans="1:2">
      <c r="A2131">
        <f>Prices!A2137</f>
        <v>0</v>
      </c>
      <c r="B2131" s="470" t="e">
        <f>IF('Flow Indicator Parts List'!$D$2="CDN$",_xlfn.XLOOKUP(A2131,Prices!A:A,Prices!D:D),IF('Flow Indicator Parts List'!$D$2="US$",_xlfn.XLOOKUP(CurrencyModifier!A2131,Prices!A:A,Prices!E:E,"MISSING")))</f>
        <v>#N/A</v>
      </c>
    </row>
    <row r="2132" spans="1:2">
      <c r="A2132">
        <f>Prices!A2138</f>
        <v>0</v>
      </c>
      <c r="B2132" s="470" t="e">
        <f>IF('Flow Indicator Parts List'!$D$2="CDN$",_xlfn.XLOOKUP(A2132,Prices!A:A,Prices!D:D),IF('Flow Indicator Parts List'!$D$2="US$",_xlfn.XLOOKUP(CurrencyModifier!A2132,Prices!A:A,Prices!E:E,"MISSING")))</f>
        <v>#N/A</v>
      </c>
    </row>
    <row r="2133" spans="1:2">
      <c r="A2133">
        <f>Prices!A2139</f>
        <v>0</v>
      </c>
      <c r="B2133" s="470" t="e">
        <f>IF('Flow Indicator Parts List'!$D$2="CDN$",_xlfn.XLOOKUP(A2133,Prices!A:A,Prices!D:D),IF('Flow Indicator Parts List'!$D$2="US$",_xlfn.XLOOKUP(CurrencyModifier!A2133,Prices!A:A,Prices!E:E,"MISSING")))</f>
        <v>#N/A</v>
      </c>
    </row>
    <row r="2134" spans="1:2">
      <c r="A2134">
        <f>Prices!A2140</f>
        <v>0</v>
      </c>
      <c r="B2134" s="470" t="e">
        <f>IF('Flow Indicator Parts List'!$D$2="CDN$",_xlfn.XLOOKUP(A2134,Prices!A:A,Prices!D:D),IF('Flow Indicator Parts List'!$D$2="US$",_xlfn.XLOOKUP(CurrencyModifier!A2134,Prices!A:A,Prices!E:E,"MISSING")))</f>
        <v>#N/A</v>
      </c>
    </row>
    <row r="2135" spans="1:2">
      <c r="A2135">
        <f>Prices!A2141</f>
        <v>0</v>
      </c>
      <c r="B2135" s="470" t="e">
        <f>IF('Flow Indicator Parts List'!$D$2="CDN$",_xlfn.XLOOKUP(A2135,Prices!A:A,Prices!D:D),IF('Flow Indicator Parts List'!$D$2="US$",_xlfn.XLOOKUP(CurrencyModifier!A2135,Prices!A:A,Prices!E:E,"MISSING")))</f>
        <v>#N/A</v>
      </c>
    </row>
    <row r="2136" spans="1:2">
      <c r="A2136">
        <f>Prices!A2142</f>
        <v>0</v>
      </c>
      <c r="B2136" s="470" t="e">
        <f>IF('Flow Indicator Parts List'!$D$2="CDN$",_xlfn.XLOOKUP(A2136,Prices!A:A,Prices!D:D),IF('Flow Indicator Parts List'!$D$2="US$",_xlfn.XLOOKUP(CurrencyModifier!A2136,Prices!A:A,Prices!E:E,"MISSING")))</f>
        <v>#N/A</v>
      </c>
    </row>
    <row r="2137" spans="1:2">
      <c r="A2137">
        <f>Prices!A2143</f>
        <v>0</v>
      </c>
      <c r="B2137" s="470" t="e">
        <f>IF('Flow Indicator Parts List'!$D$2="CDN$",_xlfn.XLOOKUP(A2137,Prices!A:A,Prices!D:D),IF('Flow Indicator Parts List'!$D$2="US$",_xlfn.XLOOKUP(CurrencyModifier!A2137,Prices!A:A,Prices!E:E,"MISSING")))</f>
        <v>#N/A</v>
      </c>
    </row>
    <row r="2138" spans="1:2">
      <c r="A2138">
        <f>Prices!A2144</f>
        <v>0</v>
      </c>
      <c r="B2138" s="470" t="e">
        <f>IF('Flow Indicator Parts List'!$D$2="CDN$",_xlfn.XLOOKUP(A2138,Prices!A:A,Prices!D:D),IF('Flow Indicator Parts List'!$D$2="US$",_xlfn.XLOOKUP(CurrencyModifier!A2138,Prices!A:A,Prices!E:E,"MISSING")))</f>
        <v>#N/A</v>
      </c>
    </row>
    <row r="2139" spans="1:2">
      <c r="A2139">
        <f>Prices!A2145</f>
        <v>0</v>
      </c>
      <c r="B2139" s="470" t="e">
        <f>IF('Flow Indicator Parts List'!$D$2="CDN$",_xlfn.XLOOKUP(A2139,Prices!A:A,Prices!D:D),IF('Flow Indicator Parts List'!$D$2="US$",_xlfn.XLOOKUP(CurrencyModifier!A2139,Prices!A:A,Prices!E:E,"MISSING")))</f>
        <v>#N/A</v>
      </c>
    </row>
    <row r="2140" spans="1:2">
      <c r="A2140">
        <f>Prices!A2146</f>
        <v>0</v>
      </c>
      <c r="B2140" s="470" t="e">
        <f>IF('Flow Indicator Parts List'!$D$2="CDN$",_xlfn.XLOOKUP(A2140,Prices!A:A,Prices!D:D),IF('Flow Indicator Parts List'!$D$2="US$",_xlfn.XLOOKUP(CurrencyModifier!A2140,Prices!A:A,Prices!E:E,"MISSING")))</f>
        <v>#N/A</v>
      </c>
    </row>
    <row r="2141" spans="1:2">
      <c r="A2141">
        <f>Prices!A2147</f>
        <v>0</v>
      </c>
      <c r="B2141" s="470" t="e">
        <f>IF('Flow Indicator Parts List'!$D$2="CDN$",_xlfn.XLOOKUP(A2141,Prices!A:A,Prices!D:D),IF('Flow Indicator Parts List'!$D$2="US$",_xlfn.XLOOKUP(CurrencyModifier!A2141,Prices!A:A,Prices!E:E,"MISSING")))</f>
        <v>#N/A</v>
      </c>
    </row>
    <row r="2142" spans="1:2">
      <c r="A2142">
        <f>Prices!A2148</f>
        <v>0</v>
      </c>
      <c r="B2142" s="470" t="e">
        <f>IF('Flow Indicator Parts List'!$D$2="CDN$",_xlfn.XLOOKUP(A2142,Prices!A:A,Prices!D:D),IF('Flow Indicator Parts List'!$D$2="US$",_xlfn.XLOOKUP(CurrencyModifier!A2142,Prices!A:A,Prices!E:E,"MISSING")))</f>
        <v>#N/A</v>
      </c>
    </row>
    <row r="2143" spans="1:2">
      <c r="A2143">
        <f>Prices!A2149</f>
        <v>0</v>
      </c>
      <c r="B2143" s="470" t="e">
        <f>IF('Flow Indicator Parts List'!$D$2="CDN$",_xlfn.XLOOKUP(A2143,Prices!A:A,Prices!D:D),IF('Flow Indicator Parts List'!$D$2="US$",_xlfn.XLOOKUP(CurrencyModifier!A2143,Prices!A:A,Prices!E:E,"MISSING")))</f>
        <v>#N/A</v>
      </c>
    </row>
    <row r="2144" spans="1:2">
      <c r="A2144">
        <f>Prices!A2150</f>
        <v>0</v>
      </c>
      <c r="B2144" s="470" t="e">
        <f>IF('Flow Indicator Parts List'!$D$2="CDN$",_xlfn.XLOOKUP(A2144,Prices!A:A,Prices!D:D),IF('Flow Indicator Parts List'!$D$2="US$",_xlfn.XLOOKUP(CurrencyModifier!A2144,Prices!A:A,Prices!E:E,"MISSING")))</f>
        <v>#N/A</v>
      </c>
    </row>
    <row r="2145" spans="1:2">
      <c r="A2145">
        <f>Prices!A2151</f>
        <v>0</v>
      </c>
      <c r="B2145" s="470" t="e">
        <f>IF('Flow Indicator Parts List'!$D$2="CDN$",_xlfn.XLOOKUP(A2145,Prices!A:A,Prices!D:D),IF('Flow Indicator Parts List'!$D$2="US$",_xlfn.XLOOKUP(CurrencyModifier!A2145,Prices!A:A,Prices!E:E,"MISSING")))</f>
        <v>#N/A</v>
      </c>
    </row>
    <row r="2146" spans="1:2">
      <c r="A2146">
        <f>Prices!A2152</f>
        <v>0</v>
      </c>
      <c r="B2146" s="470" t="e">
        <f>IF('Flow Indicator Parts List'!$D$2="CDN$",_xlfn.XLOOKUP(A2146,Prices!A:A,Prices!D:D),IF('Flow Indicator Parts List'!$D$2="US$",_xlfn.XLOOKUP(CurrencyModifier!A2146,Prices!A:A,Prices!E:E,"MISSING")))</f>
        <v>#N/A</v>
      </c>
    </row>
    <row r="2147" spans="1:2">
      <c r="A2147">
        <f>Prices!A2153</f>
        <v>0</v>
      </c>
      <c r="B2147" s="470" t="e">
        <f>IF('Flow Indicator Parts List'!$D$2="CDN$",_xlfn.XLOOKUP(A2147,Prices!A:A,Prices!D:D),IF('Flow Indicator Parts List'!$D$2="US$",_xlfn.XLOOKUP(CurrencyModifier!A2147,Prices!A:A,Prices!E:E,"MISSING")))</f>
        <v>#N/A</v>
      </c>
    </row>
    <row r="2148" spans="1:2">
      <c r="A2148">
        <f>Prices!A2154</f>
        <v>0</v>
      </c>
      <c r="B2148" s="470" t="e">
        <f>IF('Flow Indicator Parts List'!$D$2="CDN$",_xlfn.XLOOKUP(A2148,Prices!A:A,Prices!D:D),IF('Flow Indicator Parts List'!$D$2="US$",_xlfn.XLOOKUP(CurrencyModifier!A2148,Prices!A:A,Prices!E:E,"MISSING")))</f>
        <v>#N/A</v>
      </c>
    </row>
    <row r="2149" spans="1:2">
      <c r="A2149">
        <f>Prices!A2155</f>
        <v>0</v>
      </c>
      <c r="B2149" s="470" t="e">
        <f>IF('Flow Indicator Parts List'!$D$2="CDN$",_xlfn.XLOOKUP(A2149,Prices!A:A,Prices!D:D),IF('Flow Indicator Parts List'!$D$2="US$",_xlfn.XLOOKUP(CurrencyModifier!A2149,Prices!A:A,Prices!E:E,"MISSING")))</f>
        <v>#N/A</v>
      </c>
    </row>
    <row r="2150" spans="1:2">
      <c r="A2150">
        <f>Prices!A2156</f>
        <v>0</v>
      </c>
      <c r="B2150" s="470" t="e">
        <f>IF('Flow Indicator Parts List'!$D$2="CDN$",_xlfn.XLOOKUP(A2150,Prices!A:A,Prices!D:D),IF('Flow Indicator Parts List'!$D$2="US$",_xlfn.XLOOKUP(CurrencyModifier!A2150,Prices!A:A,Prices!E:E,"MISSING")))</f>
        <v>#N/A</v>
      </c>
    </row>
    <row r="2151" spans="1:2">
      <c r="A2151">
        <f>Prices!A2157</f>
        <v>0</v>
      </c>
      <c r="B2151" s="470" t="e">
        <f>IF('Flow Indicator Parts List'!$D$2="CDN$",_xlfn.XLOOKUP(A2151,Prices!A:A,Prices!D:D),IF('Flow Indicator Parts List'!$D$2="US$",_xlfn.XLOOKUP(CurrencyModifier!A2151,Prices!A:A,Prices!E:E,"MISSING")))</f>
        <v>#N/A</v>
      </c>
    </row>
    <row r="2152" spans="1:2">
      <c r="A2152">
        <f>Prices!A2158</f>
        <v>0</v>
      </c>
      <c r="B2152" s="470" t="e">
        <f>IF('Flow Indicator Parts List'!$D$2="CDN$",_xlfn.XLOOKUP(A2152,Prices!A:A,Prices!D:D),IF('Flow Indicator Parts List'!$D$2="US$",_xlfn.XLOOKUP(CurrencyModifier!A2152,Prices!A:A,Prices!E:E,"MISSING")))</f>
        <v>#N/A</v>
      </c>
    </row>
    <row r="2153" spans="1:2">
      <c r="A2153">
        <f>Prices!A2159</f>
        <v>0</v>
      </c>
      <c r="B2153" s="470" t="e">
        <f>IF('Flow Indicator Parts List'!$D$2="CDN$",_xlfn.XLOOKUP(A2153,Prices!A:A,Prices!D:D),IF('Flow Indicator Parts List'!$D$2="US$",_xlfn.XLOOKUP(CurrencyModifier!A2153,Prices!A:A,Prices!E:E,"MISSING")))</f>
        <v>#N/A</v>
      </c>
    </row>
    <row r="2154" spans="1:2">
      <c r="A2154">
        <f>Prices!A2160</f>
        <v>0</v>
      </c>
      <c r="B2154" s="470" t="e">
        <f>IF('Flow Indicator Parts List'!$D$2="CDN$",_xlfn.XLOOKUP(A2154,Prices!A:A,Prices!D:D),IF('Flow Indicator Parts List'!$D$2="US$",_xlfn.XLOOKUP(CurrencyModifier!A2154,Prices!A:A,Prices!E:E,"MISSING")))</f>
        <v>#N/A</v>
      </c>
    </row>
    <row r="2155" spans="1:2">
      <c r="A2155">
        <f>Prices!A2161</f>
        <v>0</v>
      </c>
      <c r="B2155" s="470" t="e">
        <f>IF('Flow Indicator Parts List'!$D$2="CDN$",_xlfn.XLOOKUP(A2155,Prices!A:A,Prices!D:D),IF('Flow Indicator Parts List'!$D$2="US$",_xlfn.XLOOKUP(CurrencyModifier!A2155,Prices!A:A,Prices!E:E,"MISSING")))</f>
        <v>#N/A</v>
      </c>
    </row>
    <row r="2156" spans="1:2">
      <c r="A2156">
        <f>Prices!A2162</f>
        <v>0</v>
      </c>
      <c r="B2156" s="470" t="e">
        <f>IF('Flow Indicator Parts List'!$D$2="CDN$",_xlfn.XLOOKUP(A2156,Prices!A:A,Prices!D:D),IF('Flow Indicator Parts List'!$D$2="US$",_xlfn.XLOOKUP(CurrencyModifier!A2156,Prices!A:A,Prices!E:E,"MISSING")))</f>
        <v>#N/A</v>
      </c>
    </row>
    <row r="2157" spans="1:2">
      <c r="A2157">
        <f>Prices!A2163</f>
        <v>0</v>
      </c>
      <c r="B2157" s="470" t="e">
        <f>IF('Flow Indicator Parts List'!$D$2="CDN$",_xlfn.XLOOKUP(A2157,Prices!A:A,Prices!D:D),IF('Flow Indicator Parts List'!$D$2="US$",_xlfn.XLOOKUP(CurrencyModifier!A2157,Prices!A:A,Prices!E:E,"MISSING")))</f>
        <v>#N/A</v>
      </c>
    </row>
    <row r="2158" spans="1:2">
      <c r="A2158">
        <f>Prices!A2164</f>
        <v>0</v>
      </c>
      <c r="B2158" s="470" t="e">
        <f>IF('Flow Indicator Parts List'!$D$2="CDN$",_xlfn.XLOOKUP(A2158,Prices!A:A,Prices!D:D),IF('Flow Indicator Parts List'!$D$2="US$",_xlfn.XLOOKUP(CurrencyModifier!A2158,Prices!A:A,Prices!E:E,"MISSING")))</f>
        <v>#N/A</v>
      </c>
    </row>
    <row r="2159" spans="1:2">
      <c r="A2159">
        <f>Prices!A2165</f>
        <v>0</v>
      </c>
      <c r="B2159" s="470" t="e">
        <f>IF('Flow Indicator Parts List'!$D$2="CDN$",_xlfn.XLOOKUP(A2159,Prices!A:A,Prices!D:D),IF('Flow Indicator Parts List'!$D$2="US$",_xlfn.XLOOKUP(CurrencyModifier!A2159,Prices!A:A,Prices!E:E,"MISSING")))</f>
        <v>#N/A</v>
      </c>
    </row>
    <row r="2160" spans="1:2">
      <c r="A2160">
        <f>Prices!A2166</f>
        <v>0</v>
      </c>
      <c r="B2160" s="470" t="e">
        <f>IF('Flow Indicator Parts List'!$D$2="CDN$",_xlfn.XLOOKUP(A2160,Prices!A:A,Prices!D:D),IF('Flow Indicator Parts List'!$D$2="US$",_xlfn.XLOOKUP(CurrencyModifier!A2160,Prices!A:A,Prices!E:E,"MISSING")))</f>
        <v>#N/A</v>
      </c>
    </row>
    <row r="2161" spans="1:2">
      <c r="A2161">
        <f>Prices!A2167</f>
        <v>0</v>
      </c>
      <c r="B2161" s="470" t="e">
        <f>IF('Flow Indicator Parts List'!$D$2="CDN$",_xlfn.XLOOKUP(A2161,Prices!A:A,Prices!D:D),IF('Flow Indicator Parts List'!$D$2="US$",_xlfn.XLOOKUP(CurrencyModifier!A2161,Prices!A:A,Prices!E:E,"MISSING")))</f>
        <v>#N/A</v>
      </c>
    </row>
    <row r="2162" spans="1:2">
      <c r="A2162">
        <f>Prices!A2168</f>
        <v>0</v>
      </c>
      <c r="B2162" s="470" t="e">
        <f>IF('Flow Indicator Parts List'!$D$2="CDN$",_xlfn.XLOOKUP(A2162,Prices!A:A,Prices!D:D),IF('Flow Indicator Parts List'!$D$2="US$",_xlfn.XLOOKUP(CurrencyModifier!A2162,Prices!A:A,Prices!E:E,"MISSING")))</f>
        <v>#N/A</v>
      </c>
    </row>
    <row r="2163" spans="1:2">
      <c r="A2163">
        <f>Prices!A2169</f>
        <v>0</v>
      </c>
      <c r="B2163" s="470" t="e">
        <f>IF('Flow Indicator Parts List'!$D$2="CDN$",_xlfn.XLOOKUP(A2163,Prices!A:A,Prices!D:D),IF('Flow Indicator Parts List'!$D$2="US$",_xlfn.XLOOKUP(CurrencyModifier!A2163,Prices!A:A,Prices!E:E,"MISSING")))</f>
        <v>#N/A</v>
      </c>
    </row>
    <row r="2164" spans="1:2">
      <c r="A2164">
        <f>Prices!A2170</f>
        <v>0</v>
      </c>
      <c r="B2164" s="470" t="e">
        <f>IF('Flow Indicator Parts List'!$D$2="CDN$",_xlfn.XLOOKUP(A2164,Prices!A:A,Prices!D:D),IF('Flow Indicator Parts List'!$D$2="US$",_xlfn.XLOOKUP(CurrencyModifier!A2164,Prices!A:A,Prices!E:E,"MISSING")))</f>
        <v>#N/A</v>
      </c>
    </row>
    <row r="2165" spans="1:2">
      <c r="A2165">
        <f>Prices!A2171</f>
        <v>0</v>
      </c>
      <c r="B2165" s="470" t="e">
        <f>IF('Flow Indicator Parts List'!$D$2="CDN$",_xlfn.XLOOKUP(A2165,Prices!A:A,Prices!D:D),IF('Flow Indicator Parts List'!$D$2="US$",_xlfn.XLOOKUP(CurrencyModifier!A2165,Prices!A:A,Prices!E:E,"MISSING")))</f>
        <v>#N/A</v>
      </c>
    </row>
    <row r="2166" spans="1:2">
      <c r="A2166">
        <f>Prices!A2172</f>
        <v>0</v>
      </c>
      <c r="B2166" s="470" t="e">
        <f>IF('Flow Indicator Parts List'!$D$2="CDN$",_xlfn.XLOOKUP(A2166,Prices!A:A,Prices!D:D),IF('Flow Indicator Parts List'!$D$2="US$",_xlfn.XLOOKUP(CurrencyModifier!A2166,Prices!A:A,Prices!E:E,"MISSING")))</f>
        <v>#N/A</v>
      </c>
    </row>
    <row r="2167" spans="1:2">
      <c r="A2167">
        <f>Prices!A2173</f>
        <v>0</v>
      </c>
      <c r="B2167" s="470" t="e">
        <f>IF('Flow Indicator Parts List'!$D$2="CDN$",_xlfn.XLOOKUP(A2167,Prices!A:A,Prices!D:D),IF('Flow Indicator Parts List'!$D$2="US$",_xlfn.XLOOKUP(CurrencyModifier!A2167,Prices!A:A,Prices!E:E,"MISSING")))</f>
        <v>#N/A</v>
      </c>
    </row>
    <row r="2168" spans="1:2">
      <c r="A2168">
        <f>Prices!A2174</f>
        <v>0</v>
      </c>
      <c r="B2168" s="470" t="e">
        <f>IF('Flow Indicator Parts List'!$D$2="CDN$",_xlfn.XLOOKUP(A2168,Prices!A:A,Prices!D:D),IF('Flow Indicator Parts List'!$D$2="US$",_xlfn.XLOOKUP(CurrencyModifier!A2168,Prices!A:A,Prices!E:E,"MISSING")))</f>
        <v>#N/A</v>
      </c>
    </row>
    <row r="2169" spans="1:2">
      <c r="A2169">
        <f>Prices!A2175</f>
        <v>0</v>
      </c>
      <c r="B2169" s="470" t="e">
        <f>IF('Flow Indicator Parts List'!$D$2="CDN$",_xlfn.XLOOKUP(A2169,Prices!A:A,Prices!D:D),IF('Flow Indicator Parts List'!$D$2="US$",_xlfn.XLOOKUP(CurrencyModifier!A2169,Prices!A:A,Prices!E:E,"MISSING")))</f>
        <v>#N/A</v>
      </c>
    </row>
    <row r="2170" spans="1:2">
      <c r="A2170">
        <f>Prices!A2176</f>
        <v>0</v>
      </c>
      <c r="B2170" s="470" t="e">
        <f>IF('Flow Indicator Parts List'!$D$2="CDN$",_xlfn.XLOOKUP(A2170,Prices!A:A,Prices!D:D),IF('Flow Indicator Parts List'!$D$2="US$",_xlfn.XLOOKUP(CurrencyModifier!A2170,Prices!A:A,Prices!E:E,"MISSING")))</f>
        <v>#N/A</v>
      </c>
    </row>
    <row r="2171" spans="1:2">
      <c r="A2171">
        <f>Prices!A2177</f>
        <v>0</v>
      </c>
      <c r="B2171" s="470" t="e">
        <f>IF('Flow Indicator Parts List'!$D$2="CDN$",_xlfn.XLOOKUP(A2171,Prices!A:A,Prices!D:D),IF('Flow Indicator Parts List'!$D$2="US$",_xlfn.XLOOKUP(CurrencyModifier!A2171,Prices!A:A,Prices!E:E,"MISSING")))</f>
        <v>#N/A</v>
      </c>
    </row>
    <row r="2172" spans="1:2">
      <c r="A2172">
        <f>Prices!A2178</f>
        <v>0</v>
      </c>
      <c r="B2172" s="470" t="e">
        <f>IF('Flow Indicator Parts List'!$D$2="CDN$",_xlfn.XLOOKUP(A2172,Prices!A:A,Prices!D:D),IF('Flow Indicator Parts List'!$D$2="US$",_xlfn.XLOOKUP(CurrencyModifier!A2172,Prices!A:A,Prices!E:E,"MISSING")))</f>
        <v>#N/A</v>
      </c>
    </row>
    <row r="2173" spans="1:2">
      <c r="A2173">
        <f>Prices!A2179</f>
        <v>0</v>
      </c>
      <c r="B2173" s="470" t="e">
        <f>IF('Flow Indicator Parts List'!$D$2="CDN$",_xlfn.XLOOKUP(A2173,Prices!A:A,Prices!D:D),IF('Flow Indicator Parts List'!$D$2="US$",_xlfn.XLOOKUP(CurrencyModifier!A2173,Prices!A:A,Prices!E:E,"MISSING")))</f>
        <v>#N/A</v>
      </c>
    </row>
    <row r="2174" spans="1:2">
      <c r="A2174">
        <f>Prices!A2180</f>
        <v>0</v>
      </c>
      <c r="B2174" s="470" t="e">
        <f>IF('Flow Indicator Parts List'!$D$2="CDN$",_xlfn.XLOOKUP(A2174,Prices!A:A,Prices!D:D),IF('Flow Indicator Parts List'!$D$2="US$",_xlfn.XLOOKUP(CurrencyModifier!A2174,Prices!A:A,Prices!E:E,"MISSING")))</f>
        <v>#N/A</v>
      </c>
    </row>
    <row r="2175" spans="1:2">
      <c r="A2175">
        <f>Prices!A2181</f>
        <v>0</v>
      </c>
      <c r="B2175" s="470" t="e">
        <f>IF('Flow Indicator Parts List'!$D$2="CDN$",_xlfn.XLOOKUP(A2175,Prices!A:A,Prices!D:D),IF('Flow Indicator Parts List'!$D$2="US$",_xlfn.XLOOKUP(CurrencyModifier!A2175,Prices!A:A,Prices!E:E,"MISSING")))</f>
        <v>#N/A</v>
      </c>
    </row>
    <row r="2176" spans="1:2">
      <c r="A2176">
        <f>Prices!A2182</f>
        <v>0</v>
      </c>
      <c r="B2176" s="470" t="e">
        <f>IF('Flow Indicator Parts List'!$D$2="CDN$",_xlfn.XLOOKUP(A2176,Prices!A:A,Prices!D:D),IF('Flow Indicator Parts List'!$D$2="US$",_xlfn.XLOOKUP(CurrencyModifier!A2176,Prices!A:A,Prices!E:E,"MISSING")))</f>
        <v>#N/A</v>
      </c>
    </row>
    <row r="2177" spans="1:2">
      <c r="A2177">
        <f>Prices!A2183</f>
        <v>0</v>
      </c>
      <c r="B2177" s="470" t="e">
        <f>IF('Flow Indicator Parts List'!$D$2="CDN$",_xlfn.XLOOKUP(A2177,Prices!A:A,Prices!D:D),IF('Flow Indicator Parts List'!$D$2="US$",_xlfn.XLOOKUP(CurrencyModifier!A2177,Prices!A:A,Prices!E:E,"MISSING")))</f>
        <v>#N/A</v>
      </c>
    </row>
    <row r="2178" spans="1:2">
      <c r="A2178">
        <f>Prices!A2184</f>
        <v>0</v>
      </c>
      <c r="B2178" s="470" t="e">
        <f>IF('Flow Indicator Parts List'!$D$2="CDN$",_xlfn.XLOOKUP(A2178,Prices!A:A,Prices!D:D),IF('Flow Indicator Parts List'!$D$2="US$",_xlfn.XLOOKUP(CurrencyModifier!A2178,Prices!A:A,Prices!E:E,"MISSING")))</f>
        <v>#N/A</v>
      </c>
    </row>
    <row r="2179" spans="1:2">
      <c r="A2179">
        <f>Prices!A2185</f>
        <v>0</v>
      </c>
      <c r="B2179" s="470" t="e">
        <f>IF('Flow Indicator Parts List'!$D$2="CDN$",_xlfn.XLOOKUP(A2179,Prices!A:A,Prices!D:D),IF('Flow Indicator Parts List'!$D$2="US$",_xlfn.XLOOKUP(CurrencyModifier!A2179,Prices!A:A,Prices!E:E,"MISSING")))</f>
        <v>#N/A</v>
      </c>
    </row>
    <row r="2180" spans="1:2">
      <c r="A2180">
        <f>Prices!A2186</f>
        <v>0</v>
      </c>
      <c r="B2180" s="470" t="e">
        <f>IF('Flow Indicator Parts List'!$D$2="CDN$",_xlfn.XLOOKUP(A2180,Prices!A:A,Prices!D:D),IF('Flow Indicator Parts List'!$D$2="US$",_xlfn.XLOOKUP(CurrencyModifier!A2180,Prices!A:A,Prices!E:E,"MISSING")))</f>
        <v>#N/A</v>
      </c>
    </row>
    <row r="2181" spans="1:2">
      <c r="A2181">
        <f>Prices!A2187</f>
        <v>0</v>
      </c>
      <c r="B2181" s="470" t="e">
        <f>IF('Flow Indicator Parts List'!$D$2="CDN$",_xlfn.XLOOKUP(A2181,Prices!A:A,Prices!D:D),IF('Flow Indicator Parts List'!$D$2="US$",_xlfn.XLOOKUP(CurrencyModifier!A2181,Prices!A:A,Prices!E:E,"MISSING")))</f>
        <v>#N/A</v>
      </c>
    </row>
    <row r="2182" spans="1:2">
      <c r="A2182">
        <f>Prices!A2188</f>
        <v>0</v>
      </c>
      <c r="B2182" s="470" t="e">
        <f>IF('Flow Indicator Parts List'!$D$2="CDN$",_xlfn.XLOOKUP(A2182,Prices!A:A,Prices!D:D),IF('Flow Indicator Parts List'!$D$2="US$",_xlfn.XLOOKUP(CurrencyModifier!A2182,Prices!A:A,Prices!E:E,"MISSING")))</f>
        <v>#N/A</v>
      </c>
    </row>
    <row r="2183" spans="1:2">
      <c r="A2183">
        <f>Prices!A2189</f>
        <v>0</v>
      </c>
      <c r="B2183" s="470" t="e">
        <f>IF('Flow Indicator Parts List'!$D$2="CDN$",_xlfn.XLOOKUP(A2183,Prices!A:A,Prices!D:D),IF('Flow Indicator Parts List'!$D$2="US$",_xlfn.XLOOKUP(CurrencyModifier!A2183,Prices!A:A,Prices!E:E,"MISSING")))</f>
        <v>#N/A</v>
      </c>
    </row>
    <row r="2184" spans="1:2">
      <c r="A2184">
        <f>Prices!A2190</f>
        <v>0</v>
      </c>
      <c r="B2184" s="470" t="e">
        <f>IF('Flow Indicator Parts List'!$D$2="CDN$",_xlfn.XLOOKUP(A2184,Prices!A:A,Prices!D:D),IF('Flow Indicator Parts List'!$D$2="US$",_xlfn.XLOOKUP(CurrencyModifier!A2184,Prices!A:A,Prices!E:E,"MISSING")))</f>
        <v>#N/A</v>
      </c>
    </row>
    <row r="2185" spans="1:2">
      <c r="A2185">
        <f>Prices!A2191</f>
        <v>0</v>
      </c>
      <c r="B2185" s="470" t="e">
        <f>IF('Flow Indicator Parts List'!$D$2="CDN$",_xlfn.XLOOKUP(A2185,Prices!A:A,Prices!D:D),IF('Flow Indicator Parts List'!$D$2="US$",_xlfn.XLOOKUP(CurrencyModifier!A2185,Prices!A:A,Prices!E:E,"MISSING")))</f>
        <v>#N/A</v>
      </c>
    </row>
    <row r="2186" spans="1:2">
      <c r="A2186">
        <f>Prices!A2192</f>
        <v>0</v>
      </c>
      <c r="B2186" s="470" t="e">
        <f>IF('Flow Indicator Parts List'!$D$2="CDN$",_xlfn.XLOOKUP(A2186,Prices!A:A,Prices!D:D),IF('Flow Indicator Parts List'!$D$2="US$",_xlfn.XLOOKUP(CurrencyModifier!A2186,Prices!A:A,Prices!E:E,"MISSING")))</f>
        <v>#N/A</v>
      </c>
    </row>
    <row r="2187" spans="1:2">
      <c r="A2187">
        <f>Prices!A2193</f>
        <v>0</v>
      </c>
      <c r="B2187" s="470" t="e">
        <f>IF('Flow Indicator Parts List'!$D$2="CDN$",_xlfn.XLOOKUP(A2187,Prices!A:A,Prices!D:D),IF('Flow Indicator Parts List'!$D$2="US$",_xlfn.XLOOKUP(CurrencyModifier!A2187,Prices!A:A,Prices!E:E,"MISSING")))</f>
        <v>#N/A</v>
      </c>
    </row>
    <row r="2188" spans="1:2">
      <c r="A2188">
        <f>Prices!A2194</f>
        <v>0</v>
      </c>
      <c r="B2188" s="470" t="e">
        <f>IF('Flow Indicator Parts List'!$D$2="CDN$",_xlfn.XLOOKUP(A2188,Prices!A:A,Prices!D:D),IF('Flow Indicator Parts List'!$D$2="US$",_xlfn.XLOOKUP(CurrencyModifier!A2188,Prices!A:A,Prices!E:E,"MISSING")))</f>
        <v>#N/A</v>
      </c>
    </row>
    <row r="2189" spans="1:2">
      <c r="A2189">
        <f>Prices!A2195</f>
        <v>0</v>
      </c>
      <c r="B2189" s="470" t="e">
        <f>IF('Flow Indicator Parts List'!$D$2="CDN$",_xlfn.XLOOKUP(A2189,Prices!A:A,Prices!D:D),IF('Flow Indicator Parts List'!$D$2="US$",_xlfn.XLOOKUP(CurrencyModifier!A2189,Prices!A:A,Prices!E:E,"MISSING")))</f>
        <v>#N/A</v>
      </c>
    </row>
    <row r="2190" spans="1:2">
      <c r="A2190">
        <f>Prices!A2196</f>
        <v>0</v>
      </c>
      <c r="B2190" s="470" t="e">
        <f>IF('Flow Indicator Parts List'!$D$2="CDN$",_xlfn.XLOOKUP(A2190,Prices!A:A,Prices!D:D),IF('Flow Indicator Parts List'!$D$2="US$",_xlfn.XLOOKUP(CurrencyModifier!A2190,Prices!A:A,Prices!E:E,"MISSING")))</f>
        <v>#N/A</v>
      </c>
    </row>
    <row r="2191" spans="1:2">
      <c r="A2191">
        <f>Prices!A2197</f>
        <v>0</v>
      </c>
      <c r="B2191" s="470" t="e">
        <f>IF('Flow Indicator Parts List'!$D$2="CDN$",_xlfn.XLOOKUP(A2191,Prices!A:A,Prices!D:D),IF('Flow Indicator Parts List'!$D$2="US$",_xlfn.XLOOKUP(CurrencyModifier!A2191,Prices!A:A,Prices!E:E,"MISSING")))</f>
        <v>#N/A</v>
      </c>
    </row>
    <row r="2192" spans="1:2">
      <c r="A2192">
        <f>Prices!A2198</f>
        <v>0</v>
      </c>
      <c r="B2192" s="470" t="e">
        <f>IF('Flow Indicator Parts List'!$D$2="CDN$",_xlfn.XLOOKUP(A2192,Prices!A:A,Prices!D:D),IF('Flow Indicator Parts List'!$D$2="US$",_xlfn.XLOOKUP(CurrencyModifier!A2192,Prices!A:A,Prices!E:E,"MISSING")))</f>
        <v>#N/A</v>
      </c>
    </row>
    <row r="2193" spans="1:2">
      <c r="A2193">
        <f>Prices!A2199</f>
        <v>0</v>
      </c>
      <c r="B2193" s="470" t="e">
        <f>IF('Flow Indicator Parts List'!$D$2="CDN$",_xlfn.XLOOKUP(A2193,Prices!A:A,Prices!D:D),IF('Flow Indicator Parts List'!$D$2="US$",_xlfn.XLOOKUP(CurrencyModifier!A2193,Prices!A:A,Prices!E:E,"MISSING")))</f>
        <v>#N/A</v>
      </c>
    </row>
    <row r="2194" spans="1:2">
      <c r="A2194">
        <f>Prices!A2200</f>
        <v>0</v>
      </c>
      <c r="B2194" s="470" t="e">
        <f>IF('Flow Indicator Parts List'!$D$2="CDN$",_xlfn.XLOOKUP(A2194,Prices!A:A,Prices!D:D),IF('Flow Indicator Parts List'!$D$2="US$",_xlfn.XLOOKUP(CurrencyModifier!A2194,Prices!A:A,Prices!E:E,"MISSING")))</f>
        <v>#N/A</v>
      </c>
    </row>
    <row r="2195" spans="1:2">
      <c r="A2195">
        <f>Prices!A2201</f>
        <v>0</v>
      </c>
      <c r="B2195" s="470" t="e">
        <f>IF('Flow Indicator Parts List'!$D$2="CDN$",_xlfn.XLOOKUP(A2195,Prices!A:A,Prices!D:D),IF('Flow Indicator Parts List'!$D$2="US$",_xlfn.XLOOKUP(CurrencyModifier!A2195,Prices!A:A,Prices!E:E,"MISSING")))</f>
        <v>#N/A</v>
      </c>
    </row>
    <row r="2196" spans="1:2">
      <c r="A2196">
        <f>Prices!A2202</f>
        <v>0</v>
      </c>
      <c r="B2196" s="470" t="e">
        <f>IF('Flow Indicator Parts List'!$D$2="CDN$",_xlfn.XLOOKUP(A2196,Prices!A:A,Prices!D:D),IF('Flow Indicator Parts List'!$D$2="US$",_xlfn.XLOOKUP(CurrencyModifier!A2196,Prices!A:A,Prices!E:E,"MISSING")))</f>
        <v>#N/A</v>
      </c>
    </row>
    <row r="2197" spans="1:2">
      <c r="A2197">
        <f>Prices!A2203</f>
        <v>0</v>
      </c>
      <c r="B2197" s="470" t="e">
        <f>IF('Flow Indicator Parts List'!$D$2="CDN$",_xlfn.XLOOKUP(A2197,Prices!A:A,Prices!D:D),IF('Flow Indicator Parts List'!$D$2="US$",_xlfn.XLOOKUP(CurrencyModifier!A2197,Prices!A:A,Prices!E:E,"MISSING")))</f>
        <v>#N/A</v>
      </c>
    </row>
    <row r="2198" spans="1:2">
      <c r="A2198">
        <f>Prices!A2204</f>
        <v>0</v>
      </c>
      <c r="B2198" s="470" t="e">
        <f>IF('Flow Indicator Parts List'!$D$2="CDN$",_xlfn.XLOOKUP(A2198,Prices!A:A,Prices!D:D),IF('Flow Indicator Parts List'!$D$2="US$",_xlfn.XLOOKUP(CurrencyModifier!A2198,Prices!A:A,Prices!E:E,"MISSING")))</f>
        <v>#N/A</v>
      </c>
    </row>
    <row r="2199" spans="1:2">
      <c r="A2199">
        <f>Prices!A2205</f>
        <v>0</v>
      </c>
      <c r="B2199" s="470" t="e">
        <f>IF('Flow Indicator Parts List'!$D$2="CDN$",_xlfn.XLOOKUP(A2199,Prices!A:A,Prices!D:D),IF('Flow Indicator Parts List'!$D$2="US$",_xlfn.XLOOKUP(CurrencyModifier!A2199,Prices!A:A,Prices!E:E,"MISSING")))</f>
        <v>#N/A</v>
      </c>
    </row>
    <row r="2200" spans="1:2">
      <c r="A2200">
        <f>Prices!A2206</f>
        <v>0</v>
      </c>
      <c r="B2200" s="470" t="e">
        <f>IF('Flow Indicator Parts List'!$D$2="CDN$",_xlfn.XLOOKUP(A2200,Prices!A:A,Prices!D:D),IF('Flow Indicator Parts List'!$D$2="US$",_xlfn.XLOOKUP(CurrencyModifier!A2200,Prices!A:A,Prices!E:E,"MISSING")))</f>
        <v>#N/A</v>
      </c>
    </row>
    <row r="2201" spans="1:2">
      <c r="A2201">
        <f>Prices!A2207</f>
        <v>0</v>
      </c>
      <c r="B2201" s="470" t="e">
        <f>IF('Flow Indicator Parts List'!$D$2="CDN$",_xlfn.XLOOKUP(A2201,Prices!A:A,Prices!D:D),IF('Flow Indicator Parts List'!$D$2="US$",_xlfn.XLOOKUP(CurrencyModifier!A2201,Prices!A:A,Prices!E:E,"MISSING")))</f>
        <v>#N/A</v>
      </c>
    </row>
    <row r="2202" spans="1:2">
      <c r="A2202">
        <f>Prices!A2208</f>
        <v>0</v>
      </c>
      <c r="B2202" s="470" t="e">
        <f>IF('Flow Indicator Parts List'!$D$2="CDN$",_xlfn.XLOOKUP(A2202,Prices!A:A,Prices!D:D),IF('Flow Indicator Parts List'!$D$2="US$",_xlfn.XLOOKUP(CurrencyModifier!A2202,Prices!A:A,Prices!E:E,"MISSING")))</f>
        <v>#N/A</v>
      </c>
    </row>
    <row r="2203" spans="1:2">
      <c r="A2203">
        <f>Prices!A2209</f>
        <v>0</v>
      </c>
      <c r="B2203" s="470" t="e">
        <f>IF('Flow Indicator Parts List'!$D$2="CDN$",_xlfn.XLOOKUP(A2203,Prices!A:A,Prices!D:D),IF('Flow Indicator Parts List'!$D$2="US$",_xlfn.XLOOKUP(CurrencyModifier!A2203,Prices!A:A,Prices!E:E,"MISSING")))</f>
        <v>#N/A</v>
      </c>
    </row>
    <row r="2204" spans="1:2">
      <c r="A2204">
        <f>Prices!A2210</f>
        <v>0</v>
      </c>
      <c r="B2204" s="470" t="e">
        <f>IF('Flow Indicator Parts List'!$D$2="CDN$",_xlfn.XLOOKUP(A2204,Prices!A:A,Prices!D:D),IF('Flow Indicator Parts List'!$D$2="US$",_xlfn.XLOOKUP(CurrencyModifier!A2204,Prices!A:A,Prices!E:E,"MISSING")))</f>
        <v>#N/A</v>
      </c>
    </row>
    <row r="2205" spans="1:2">
      <c r="A2205">
        <f>Prices!A2211</f>
        <v>0</v>
      </c>
      <c r="B2205" s="470" t="e">
        <f>IF('Flow Indicator Parts List'!$D$2="CDN$",_xlfn.XLOOKUP(A2205,Prices!A:A,Prices!D:D),IF('Flow Indicator Parts List'!$D$2="US$",_xlfn.XLOOKUP(CurrencyModifier!A2205,Prices!A:A,Prices!E:E,"MISSING")))</f>
        <v>#N/A</v>
      </c>
    </row>
    <row r="2206" spans="1:2">
      <c r="A2206">
        <f>Prices!A2212</f>
        <v>0</v>
      </c>
      <c r="B2206" s="470" t="e">
        <f>IF('Flow Indicator Parts List'!$D$2="CDN$",_xlfn.XLOOKUP(A2206,Prices!A:A,Prices!D:D),IF('Flow Indicator Parts List'!$D$2="US$",_xlfn.XLOOKUP(CurrencyModifier!A2206,Prices!A:A,Prices!E:E,"MISSING")))</f>
        <v>#N/A</v>
      </c>
    </row>
    <row r="2207" spans="1:2">
      <c r="A2207">
        <f>Prices!A2213</f>
        <v>0</v>
      </c>
      <c r="B2207" s="470" t="e">
        <f>IF('Flow Indicator Parts List'!$D$2="CDN$",_xlfn.XLOOKUP(A2207,Prices!A:A,Prices!D:D),IF('Flow Indicator Parts List'!$D$2="US$",_xlfn.XLOOKUP(CurrencyModifier!A2207,Prices!A:A,Prices!E:E,"MISSING")))</f>
        <v>#N/A</v>
      </c>
    </row>
    <row r="2208" spans="1:2">
      <c r="A2208">
        <f>Prices!A2214</f>
        <v>0</v>
      </c>
      <c r="B2208" s="470" t="e">
        <f>IF('Flow Indicator Parts List'!$D$2="CDN$",_xlfn.XLOOKUP(A2208,Prices!A:A,Prices!D:D),IF('Flow Indicator Parts List'!$D$2="US$",_xlfn.XLOOKUP(CurrencyModifier!A2208,Prices!A:A,Prices!E:E,"MISSING")))</f>
        <v>#N/A</v>
      </c>
    </row>
    <row r="2209" spans="1:2">
      <c r="A2209">
        <f>Prices!A2215</f>
        <v>0</v>
      </c>
      <c r="B2209" s="470" t="e">
        <f>IF('Flow Indicator Parts List'!$D$2="CDN$",_xlfn.XLOOKUP(A2209,Prices!A:A,Prices!D:D),IF('Flow Indicator Parts List'!$D$2="US$",_xlfn.XLOOKUP(CurrencyModifier!A2209,Prices!A:A,Prices!E:E,"MISSING")))</f>
        <v>#N/A</v>
      </c>
    </row>
    <row r="2210" spans="1:2">
      <c r="A2210">
        <f>Prices!A2216</f>
        <v>0</v>
      </c>
      <c r="B2210" s="470" t="e">
        <f>IF('Flow Indicator Parts List'!$D$2="CDN$",_xlfn.XLOOKUP(A2210,Prices!A:A,Prices!D:D),IF('Flow Indicator Parts List'!$D$2="US$",_xlfn.XLOOKUP(CurrencyModifier!A2210,Prices!A:A,Prices!E:E,"MISSING")))</f>
        <v>#N/A</v>
      </c>
    </row>
    <row r="2211" spans="1:2">
      <c r="A2211">
        <f>Prices!A2217</f>
        <v>0</v>
      </c>
      <c r="B2211" s="470" t="e">
        <f>IF('Flow Indicator Parts List'!$D$2="CDN$",_xlfn.XLOOKUP(A2211,Prices!A:A,Prices!D:D),IF('Flow Indicator Parts List'!$D$2="US$",_xlfn.XLOOKUP(CurrencyModifier!A2211,Prices!A:A,Prices!E:E,"MISSING")))</f>
        <v>#N/A</v>
      </c>
    </row>
    <row r="2212" spans="1:2">
      <c r="A2212">
        <f>Prices!A2218</f>
        <v>0</v>
      </c>
      <c r="B2212" s="470" t="e">
        <f>IF('Flow Indicator Parts List'!$D$2="CDN$",_xlfn.XLOOKUP(A2212,Prices!A:A,Prices!D:D),IF('Flow Indicator Parts List'!$D$2="US$",_xlfn.XLOOKUP(CurrencyModifier!A2212,Prices!A:A,Prices!E:E,"MISSING")))</f>
        <v>#N/A</v>
      </c>
    </row>
    <row r="2213" spans="1:2">
      <c r="A2213">
        <f>Prices!A2219</f>
        <v>0</v>
      </c>
      <c r="B2213" s="470" t="e">
        <f>IF('Flow Indicator Parts List'!$D$2="CDN$",_xlfn.XLOOKUP(A2213,Prices!A:A,Prices!D:D),IF('Flow Indicator Parts List'!$D$2="US$",_xlfn.XLOOKUP(CurrencyModifier!A2213,Prices!A:A,Prices!E:E,"MISSING")))</f>
        <v>#N/A</v>
      </c>
    </row>
    <row r="2214" spans="1:2">
      <c r="A2214">
        <f>Prices!A2220</f>
        <v>0</v>
      </c>
      <c r="B2214" s="470" t="e">
        <f>IF('Flow Indicator Parts List'!$D$2="CDN$",_xlfn.XLOOKUP(A2214,Prices!A:A,Prices!D:D),IF('Flow Indicator Parts List'!$D$2="US$",_xlfn.XLOOKUP(CurrencyModifier!A2214,Prices!A:A,Prices!E:E,"MISSING")))</f>
        <v>#N/A</v>
      </c>
    </row>
    <row r="2215" spans="1:2">
      <c r="A2215">
        <f>Prices!A2221</f>
        <v>0</v>
      </c>
      <c r="B2215" s="470" t="e">
        <f>IF('Flow Indicator Parts List'!$D$2="CDN$",_xlfn.XLOOKUP(A2215,Prices!A:A,Prices!D:D),IF('Flow Indicator Parts List'!$D$2="US$",_xlfn.XLOOKUP(CurrencyModifier!A2215,Prices!A:A,Prices!E:E,"MISSING")))</f>
        <v>#N/A</v>
      </c>
    </row>
    <row r="2216" spans="1:2">
      <c r="A2216">
        <f>Prices!A2222</f>
        <v>0</v>
      </c>
      <c r="B2216" s="470" t="e">
        <f>IF('Flow Indicator Parts List'!$D$2="CDN$",_xlfn.XLOOKUP(A2216,Prices!A:A,Prices!D:D),IF('Flow Indicator Parts List'!$D$2="US$",_xlfn.XLOOKUP(CurrencyModifier!A2216,Prices!A:A,Prices!E:E,"MISSING")))</f>
        <v>#N/A</v>
      </c>
    </row>
    <row r="2217" spans="1:2">
      <c r="A2217">
        <f>Prices!A2223</f>
        <v>0</v>
      </c>
      <c r="B2217" s="470" t="e">
        <f>IF('Flow Indicator Parts List'!$D$2="CDN$",_xlfn.XLOOKUP(A2217,Prices!A:A,Prices!D:D),IF('Flow Indicator Parts List'!$D$2="US$",_xlfn.XLOOKUP(CurrencyModifier!A2217,Prices!A:A,Prices!E:E,"MISSING")))</f>
        <v>#N/A</v>
      </c>
    </row>
    <row r="2218" spans="1:2">
      <c r="A2218">
        <f>Prices!A2224</f>
        <v>0</v>
      </c>
      <c r="B2218" s="470" t="e">
        <f>IF('Flow Indicator Parts List'!$D$2="CDN$",_xlfn.XLOOKUP(A2218,Prices!A:A,Prices!D:D),IF('Flow Indicator Parts List'!$D$2="US$",_xlfn.XLOOKUP(CurrencyModifier!A2218,Prices!A:A,Prices!E:E,"MISSING")))</f>
        <v>#N/A</v>
      </c>
    </row>
    <row r="2219" spans="1:2">
      <c r="A2219">
        <f>Prices!A2225</f>
        <v>0</v>
      </c>
      <c r="B2219" s="470" t="e">
        <f>IF('Flow Indicator Parts List'!$D$2="CDN$",_xlfn.XLOOKUP(A2219,Prices!A:A,Prices!D:D),IF('Flow Indicator Parts List'!$D$2="US$",_xlfn.XLOOKUP(CurrencyModifier!A2219,Prices!A:A,Prices!E:E,"MISSING")))</f>
        <v>#N/A</v>
      </c>
    </row>
    <row r="2220" spans="1:2">
      <c r="A2220">
        <f>Prices!A2226</f>
        <v>0</v>
      </c>
      <c r="B2220" s="470" t="e">
        <f>IF('Flow Indicator Parts List'!$D$2="CDN$",_xlfn.XLOOKUP(A2220,Prices!A:A,Prices!D:D),IF('Flow Indicator Parts List'!$D$2="US$",_xlfn.XLOOKUP(CurrencyModifier!A2220,Prices!A:A,Prices!E:E,"MISSING")))</f>
        <v>#N/A</v>
      </c>
    </row>
    <row r="2221" spans="1:2">
      <c r="A2221">
        <f>Prices!A2227</f>
        <v>0</v>
      </c>
      <c r="B2221" s="470" t="e">
        <f>IF('Flow Indicator Parts List'!$D$2="CDN$",_xlfn.XLOOKUP(A2221,Prices!A:A,Prices!D:D),IF('Flow Indicator Parts List'!$D$2="US$",_xlfn.XLOOKUP(CurrencyModifier!A2221,Prices!A:A,Prices!E:E,"MISSING")))</f>
        <v>#N/A</v>
      </c>
    </row>
    <row r="2222" spans="1:2">
      <c r="A2222">
        <f>Prices!A2228</f>
        <v>0</v>
      </c>
      <c r="B2222" s="470" t="e">
        <f>IF('Flow Indicator Parts List'!$D$2="CDN$",_xlfn.XLOOKUP(A2222,Prices!A:A,Prices!D:D),IF('Flow Indicator Parts List'!$D$2="US$",_xlfn.XLOOKUP(CurrencyModifier!A2222,Prices!A:A,Prices!E:E,"MISSING")))</f>
        <v>#N/A</v>
      </c>
    </row>
    <row r="2223" spans="1:2">
      <c r="A2223">
        <f>Prices!A2229</f>
        <v>0</v>
      </c>
      <c r="B2223" s="470" t="e">
        <f>IF('Flow Indicator Parts List'!$D$2="CDN$",_xlfn.XLOOKUP(A2223,Prices!A:A,Prices!D:D),IF('Flow Indicator Parts List'!$D$2="US$",_xlfn.XLOOKUP(CurrencyModifier!A2223,Prices!A:A,Prices!E:E,"MISSING")))</f>
        <v>#N/A</v>
      </c>
    </row>
    <row r="2224" spans="1:2">
      <c r="A2224">
        <f>Prices!A2230</f>
        <v>0</v>
      </c>
      <c r="B2224" s="470" t="e">
        <f>IF('Flow Indicator Parts List'!$D$2="CDN$",_xlfn.XLOOKUP(A2224,Prices!A:A,Prices!D:D),IF('Flow Indicator Parts List'!$D$2="US$",_xlfn.XLOOKUP(CurrencyModifier!A2224,Prices!A:A,Prices!E:E,"MISSING")))</f>
        <v>#N/A</v>
      </c>
    </row>
    <row r="2225" spans="1:2">
      <c r="A2225">
        <f>Prices!A2231</f>
        <v>0</v>
      </c>
      <c r="B2225" s="470" t="e">
        <f>IF('Flow Indicator Parts List'!$D$2="CDN$",_xlfn.XLOOKUP(A2225,Prices!A:A,Prices!D:D),IF('Flow Indicator Parts List'!$D$2="US$",_xlfn.XLOOKUP(CurrencyModifier!A2225,Prices!A:A,Prices!E:E,"MISSING")))</f>
        <v>#N/A</v>
      </c>
    </row>
    <row r="2226" spans="1:2">
      <c r="A2226">
        <f>Prices!A2232</f>
        <v>0</v>
      </c>
      <c r="B2226" s="470" t="e">
        <f>IF('Flow Indicator Parts List'!$D$2="CDN$",_xlfn.XLOOKUP(A2226,Prices!A:A,Prices!D:D),IF('Flow Indicator Parts List'!$D$2="US$",_xlfn.XLOOKUP(CurrencyModifier!A2226,Prices!A:A,Prices!E:E,"MISSING")))</f>
        <v>#N/A</v>
      </c>
    </row>
    <row r="2227" spans="1:2">
      <c r="A2227">
        <f>Prices!A2233</f>
        <v>0</v>
      </c>
      <c r="B2227" s="470" t="e">
        <f>IF('Flow Indicator Parts List'!$D$2="CDN$",_xlfn.XLOOKUP(A2227,Prices!A:A,Prices!D:D),IF('Flow Indicator Parts List'!$D$2="US$",_xlfn.XLOOKUP(CurrencyModifier!A2227,Prices!A:A,Prices!E:E,"MISSING")))</f>
        <v>#N/A</v>
      </c>
    </row>
    <row r="2228" spans="1:2">
      <c r="A2228">
        <f>Prices!A2234</f>
        <v>0</v>
      </c>
      <c r="B2228" s="470" t="e">
        <f>IF('Flow Indicator Parts List'!$D$2="CDN$",_xlfn.XLOOKUP(A2228,Prices!A:A,Prices!D:D),IF('Flow Indicator Parts List'!$D$2="US$",_xlfn.XLOOKUP(CurrencyModifier!A2228,Prices!A:A,Prices!E:E,"MISSING")))</f>
        <v>#N/A</v>
      </c>
    </row>
    <row r="2229" spans="1:2">
      <c r="A2229">
        <f>Prices!A2235</f>
        <v>0</v>
      </c>
      <c r="B2229" s="470" t="e">
        <f>IF('Flow Indicator Parts List'!$D$2="CDN$",_xlfn.XLOOKUP(A2229,Prices!A:A,Prices!D:D),IF('Flow Indicator Parts List'!$D$2="US$",_xlfn.XLOOKUP(CurrencyModifier!A2229,Prices!A:A,Prices!E:E,"MISSING")))</f>
        <v>#N/A</v>
      </c>
    </row>
    <row r="2230" spans="1:2">
      <c r="A2230">
        <f>Prices!A2236</f>
        <v>0</v>
      </c>
      <c r="B2230" s="470" t="e">
        <f>IF('Flow Indicator Parts List'!$D$2="CDN$",_xlfn.XLOOKUP(A2230,Prices!A:A,Prices!D:D),IF('Flow Indicator Parts List'!$D$2="US$",_xlfn.XLOOKUP(CurrencyModifier!A2230,Prices!A:A,Prices!E:E,"MISSING")))</f>
        <v>#N/A</v>
      </c>
    </row>
    <row r="2231" spans="1:2">
      <c r="A2231">
        <f>Prices!A2237</f>
        <v>0</v>
      </c>
      <c r="B2231" s="470" t="e">
        <f>IF('Flow Indicator Parts List'!$D$2="CDN$",_xlfn.XLOOKUP(A2231,Prices!A:A,Prices!D:D),IF('Flow Indicator Parts List'!$D$2="US$",_xlfn.XLOOKUP(CurrencyModifier!A2231,Prices!A:A,Prices!E:E,"MISSING")))</f>
        <v>#N/A</v>
      </c>
    </row>
    <row r="2232" spans="1:2">
      <c r="A2232">
        <f>Prices!A2238</f>
        <v>0</v>
      </c>
      <c r="B2232" s="470" t="e">
        <f>IF('Flow Indicator Parts List'!$D$2="CDN$",_xlfn.XLOOKUP(A2232,Prices!A:A,Prices!D:D),IF('Flow Indicator Parts List'!$D$2="US$",_xlfn.XLOOKUP(CurrencyModifier!A2232,Prices!A:A,Prices!E:E,"MISSING")))</f>
        <v>#N/A</v>
      </c>
    </row>
    <row r="2233" spans="1:2">
      <c r="A2233">
        <f>Prices!A2239</f>
        <v>0</v>
      </c>
      <c r="B2233" s="470" t="e">
        <f>IF('Flow Indicator Parts List'!$D$2="CDN$",_xlfn.XLOOKUP(A2233,Prices!A:A,Prices!D:D),IF('Flow Indicator Parts List'!$D$2="US$",_xlfn.XLOOKUP(CurrencyModifier!A2233,Prices!A:A,Prices!E:E,"MISSING")))</f>
        <v>#N/A</v>
      </c>
    </row>
    <row r="2234" spans="1:2">
      <c r="A2234">
        <f>Prices!A2240</f>
        <v>0</v>
      </c>
      <c r="B2234" s="470" t="e">
        <f>IF('Flow Indicator Parts List'!$D$2="CDN$",_xlfn.XLOOKUP(A2234,Prices!A:A,Prices!D:D),IF('Flow Indicator Parts List'!$D$2="US$",_xlfn.XLOOKUP(CurrencyModifier!A2234,Prices!A:A,Prices!E:E,"MISSING")))</f>
        <v>#N/A</v>
      </c>
    </row>
    <row r="2235" spans="1:2">
      <c r="A2235">
        <f>Prices!A2241</f>
        <v>0</v>
      </c>
      <c r="B2235" s="470" t="e">
        <f>IF('Flow Indicator Parts List'!$D$2="CDN$",_xlfn.XLOOKUP(A2235,Prices!A:A,Prices!D:D),IF('Flow Indicator Parts List'!$D$2="US$",_xlfn.XLOOKUP(CurrencyModifier!A2235,Prices!A:A,Prices!E:E,"MISSING")))</f>
        <v>#N/A</v>
      </c>
    </row>
    <row r="2236" spans="1:2">
      <c r="A2236">
        <f>Prices!A2242</f>
        <v>0</v>
      </c>
      <c r="B2236" s="470" t="e">
        <f>IF('Flow Indicator Parts List'!$D$2="CDN$",_xlfn.XLOOKUP(A2236,Prices!A:A,Prices!D:D),IF('Flow Indicator Parts List'!$D$2="US$",_xlfn.XLOOKUP(CurrencyModifier!A2236,Prices!A:A,Prices!E:E,"MISSING")))</f>
        <v>#N/A</v>
      </c>
    </row>
    <row r="2237" spans="1:2">
      <c r="A2237">
        <f>Prices!A2243</f>
        <v>0</v>
      </c>
      <c r="B2237" s="470" t="e">
        <f>IF('Flow Indicator Parts List'!$D$2="CDN$",_xlfn.XLOOKUP(A2237,Prices!A:A,Prices!D:D),IF('Flow Indicator Parts List'!$D$2="US$",_xlfn.XLOOKUP(CurrencyModifier!A2237,Prices!A:A,Prices!E:E,"MISSING")))</f>
        <v>#N/A</v>
      </c>
    </row>
    <row r="2238" spans="1:2">
      <c r="A2238">
        <f>Prices!A2244</f>
        <v>0</v>
      </c>
      <c r="B2238" s="470" t="e">
        <f>IF('Flow Indicator Parts List'!$D$2="CDN$",_xlfn.XLOOKUP(A2238,Prices!A:A,Prices!D:D),IF('Flow Indicator Parts List'!$D$2="US$",_xlfn.XLOOKUP(CurrencyModifier!A2238,Prices!A:A,Prices!E:E,"MISSING")))</f>
        <v>#N/A</v>
      </c>
    </row>
    <row r="2239" spans="1:2">
      <c r="A2239">
        <f>Prices!A2245</f>
        <v>0</v>
      </c>
      <c r="B2239" s="470" t="e">
        <f>IF('Flow Indicator Parts List'!$D$2="CDN$",_xlfn.XLOOKUP(A2239,Prices!A:A,Prices!D:D),IF('Flow Indicator Parts List'!$D$2="US$",_xlfn.XLOOKUP(CurrencyModifier!A2239,Prices!A:A,Prices!E:E,"MISSING")))</f>
        <v>#N/A</v>
      </c>
    </row>
    <row r="2240" spans="1:2">
      <c r="A2240">
        <f>Prices!A2246</f>
        <v>0</v>
      </c>
      <c r="B2240" s="470" t="e">
        <f>IF('Flow Indicator Parts List'!$D$2="CDN$",_xlfn.XLOOKUP(A2240,Prices!A:A,Prices!D:D),IF('Flow Indicator Parts List'!$D$2="US$",_xlfn.XLOOKUP(CurrencyModifier!A2240,Prices!A:A,Prices!E:E,"MISSING")))</f>
        <v>#N/A</v>
      </c>
    </row>
    <row r="2241" spans="1:2">
      <c r="A2241">
        <f>Prices!A2247</f>
        <v>0</v>
      </c>
      <c r="B2241" s="470" t="e">
        <f>IF('Flow Indicator Parts List'!$D$2="CDN$",_xlfn.XLOOKUP(A2241,Prices!A:A,Prices!D:D),IF('Flow Indicator Parts List'!$D$2="US$",_xlfn.XLOOKUP(CurrencyModifier!A2241,Prices!A:A,Prices!E:E,"MISSING")))</f>
        <v>#N/A</v>
      </c>
    </row>
    <row r="2242" spans="1:2">
      <c r="A2242">
        <f>Prices!A2248</f>
        <v>0</v>
      </c>
      <c r="B2242" s="470" t="e">
        <f>IF('Flow Indicator Parts List'!$D$2="CDN$",_xlfn.XLOOKUP(A2242,Prices!A:A,Prices!D:D),IF('Flow Indicator Parts List'!$D$2="US$",_xlfn.XLOOKUP(CurrencyModifier!A2242,Prices!A:A,Prices!E:E,"MISSING")))</f>
        <v>#N/A</v>
      </c>
    </row>
    <row r="2243" spans="1:2">
      <c r="A2243">
        <f>Prices!A2249</f>
        <v>0</v>
      </c>
      <c r="B2243" s="470" t="e">
        <f>IF('Flow Indicator Parts List'!$D$2="CDN$",_xlfn.XLOOKUP(A2243,Prices!A:A,Prices!D:D),IF('Flow Indicator Parts List'!$D$2="US$",_xlfn.XLOOKUP(CurrencyModifier!A2243,Prices!A:A,Prices!E:E,"MISSING")))</f>
        <v>#N/A</v>
      </c>
    </row>
    <row r="2244" spans="1:2">
      <c r="A2244">
        <f>Prices!A2250</f>
        <v>0</v>
      </c>
      <c r="B2244" s="470" t="e">
        <f>IF('Flow Indicator Parts List'!$D$2="CDN$",_xlfn.XLOOKUP(A2244,Prices!A:A,Prices!D:D),IF('Flow Indicator Parts List'!$D$2="US$",_xlfn.XLOOKUP(CurrencyModifier!A2244,Prices!A:A,Prices!E:E,"MISSING")))</f>
        <v>#N/A</v>
      </c>
    </row>
    <row r="2245" spans="1:2">
      <c r="A2245">
        <f>Prices!A2251</f>
        <v>0</v>
      </c>
      <c r="B2245" s="470" t="e">
        <f>IF('Flow Indicator Parts List'!$D$2="CDN$",_xlfn.XLOOKUP(A2245,Prices!A:A,Prices!D:D),IF('Flow Indicator Parts List'!$D$2="US$",_xlfn.XLOOKUP(CurrencyModifier!A2245,Prices!A:A,Prices!E:E,"MISSING")))</f>
        <v>#N/A</v>
      </c>
    </row>
    <row r="2246" spans="1:2">
      <c r="A2246">
        <f>Prices!A2252</f>
        <v>0</v>
      </c>
      <c r="B2246" s="470" t="e">
        <f>IF('Flow Indicator Parts List'!$D$2="CDN$",_xlfn.XLOOKUP(A2246,Prices!A:A,Prices!D:D),IF('Flow Indicator Parts List'!$D$2="US$",_xlfn.XLOOKUP(CurrencyModifier!A2246,Prices!A:A,Prices!E:E,"MISSING")))</f>
        <v>#N/A</v>
      </c>
    </row>
    <row r="2247" spans="1:2">
      <c r="A2247">
        <f>Prices!A2253</f>
        <v>0</v>
      </c>
      <c r="B2247" s="470" t="e">
        <f>IF('Flow Indicator Parts List'!$D$2="CDN$",_xlfn.XLOOKUP(A2247,Prices!A:A,Prices!D:D),IF('Flow Indicator Parts List'!$D$2="US$",_xlfn.XLOOKUP(CurrencyModifier!A2247,Prices!A:A,Prices!E:E,"MISSING")))</f>
        <v>#N/A</v>
      </c>
    </row>
    <row r="2248" spans="1:2">
      <c r="A2248">
        <f>Prices!A2254</f>
        <v>0</v>
      </c>
      <c r="B2248" s="470" t="e">
        <f>IF('Flow Indicator Parts List'!$D$2="CDN$",_xlfn.XLOOKUP(A2248,Prices!A:A,Prices!D:D),IF('Flow Indicator Parts List'!$D$2="US$",_xlfn.XLOOKUP(CurrencyModifier!A2248,Prices!A:A,Prices!E:E,"MISSING")))</f>
        <v>#N/A</v>
      </c>
    </row>
    <row r="2249" spans="1:2">
      <c r="A2249">
        <f>Prices!A2255</f>
        <v>0</v>
      </c>
      <c r="B2249" s="470" t="e">
        <f>IF('Flow Indicator Parts List'!$D$2="CDN$",_xlfn.XLOOKUP(A2249,Prices!A:A,Prices!D:D),IF('Flow Indicator Parts List'!$D$2="US$",_xlfn.XLOOKUP(CurrencyModifier!A2249,Prices!A:A,Prices!E:E,"MISSING")))</f>
        <v>#N/A</v>
      </c>
    </row>
    <row r="2250" spans="1:2">
      <c r="A2250">
        <f>Prices!A2256</f>
        <v>0</v>
      </c>
      <c r="B2250" s="470" t="e">
        <f>IF('Flow Indicator Parts List'!$D$2="CDN$",_xlfn.XLOOKUP(A2250,Prices!A:A,Prices!D:D),IF('Flow Indicator Parts List'!$D$2="US$",_xlfn.XLOOKUP(CurrencyModifier!A2250,Prices!A:A,Prices!E:E,"MISSING")))</f>
        <v>#N/A</v>
      </c>
    </row>
    <row r="2251" spans="1:2">
      <c r="A2251">
        <f>Prices!A2257</f>
        <v>0</v>
      </c>
      <c r="B2251" s="470" t="e">
        <f>IF('Flow Indicator Parts List'!$D$2="CDN$",_xlfn.XLOOKUP(A2251,Prices!A:A,Prices!D:D),IF('Flow Indicator Parts List'!$D$2="US$",_xlfn.XLOOKUP(CurrencyModifier!A2251,Prices!A:A,Prices!E:E,"MISSING")))</f>
        <v>#N/A</v>
      </c>
    </row>
    <row r="2252" spans="1:2">
      <c r="A2252">
        <f>Prices!A2258</f>
        <v>0</v>
      </c>
      <c r="B2252" s="470" t="e">
        <f>IF('Flow Indicator Parts List'!$D$2="CDN$",_xlfn.XLOOKUP(A2252,Prices!A:A,Prices!D:D),IF('Flow Indicator Parts List'!$D$2="US$",_xlfn.XLOOKUP(CurrencyModifier!A2252,Prices!A:A,Prices!E:E,"MISSING")))</f>
        <v>#N/A</v>
      </c>
    </row>
    <row r="2253" spans="1:2">
      <c r="A2253">
        <f>Prices!A2259</f>
        <v>0</v>
      </c>
      <c r="B2253" s="470" t="e">
        <f>IF('Flow Indicator Parts List'!$D$2="CDN$",_xlfn.XLOOKUP(A2253,Prices!A:A,Prices!D:D),IF('Flow Indicator Parts List'!$D$2="US$",_xlfn.XLOOKUP(CurrencyModifier!A2253,Prices!A:A,Prices!E:E,"MISSING")))</f>
        <v>#N/A</v>
      </c>
    </row>
    <row r="2254" spans="1:2">
      <c r="A2254">
        <f>Prices!A2260</f>
        <v>0</v>
      </c>
      <c r="B2254" s="470" t="e">
        <f>IF('Flow Indicator Parts List'!$D$2="CDN$",_xlfn.XLOOKUP(A2254,Prices!A:A,Prices!D:D),IF('Flow Indicator Parts List'!$D$2="US$",_xlfn.XLOOKUP(CurrencyModifier!A2254,Prices!A:A,Prices!E:E,"MISSING")))</f>
        <v>#N/A</v>
      </c>
    </row>
    <row r="2255" spans="1:2">
      <c r="A2255">
        <f>Prices!A2261</f>
        <v>0</v>
      </c>
      <c r="B2255" s="470" t="e">
        <f>IF('Flow Indicator Parts List'!$D$2="CDN$",_xlfn.XLOOKUP(A2255,Prices!A:A,Prices!D:D),IF('Flow Indicator Parts List'!$D$2="US$",_xlfn.XLOOKUP(CurrencyModifier!A2255,Prices!A:A,Prices!E:E,"MISSING")))</f>
        <v>#N/A</v>
      </c>
    </row>
    <row r="2256" spans="1:2">
      <c r="A2256">
        <f>Prices!A2262</f>
        <v>0</v>
      </c>
      <c r="B2256" s="470" t="e">
        <f>IF('Flow Indicator Parts List'!$D$2="CDN$",_xlfn.XLOOKUP(A2256,Prices!A:A,Prices!D:D),IF('Flow Indicator Parts List'!$D$2="US$",_xlfn.XLOOKUP(CurrencyModifier!A2256,Prices!A:A,Prices!E:E,"MISSING")))</f>
        <v>#N/A</v>
      </c>
    </row>
    <row r="2257" spans="1:2">
      <c r="A2257">
        <f>Prices!A2263</f>
        <v>0</v>
      </c>
      <c r="B2257" s="470" t="e">
        <f>IF('Flow Indicator Parts List'!$D$2="CDN$",_xlfn.XLOOKUP(A2257,Prices!A:A,Prices!D:D),IF('Flow Indicator Parts List'!$D$2="US$",_xlfn.XLOOKUP(CurrencyModifier!A2257,Prices!A:A,Prices!E:E,"MISSING")))</f>
        <v>#N/A</v>
      </c>
    </row>
    <row r="2258" spans="1:2">
      <c r="A2258">
        <f>Prices!A2264</f>
        <v>0</v>
      </c>
      <c r="B2258" s="470" t="e">
        <f>IF('Flow Indicator Parts List'!$D$2="CDN$",_xlfn.XLOOKUP(A2258,Prices!A:A,Prices!D:D),IF('Flow Indicator Parts List'!$D$2="US$",_xlfn.XLOOKUP(CurrencyModifier!A2258,Prices!A:A,Prices!E:E,"MISSING")))</f>
        <v>#N/A</v>
      </c>
    </row>
    <row r="2259" spans="1:2">
      <c r="A2259">
        <f>Prices!A2265</f>
        <v>0</v>
      </c>
      <c r="B2259" s="470" t="e">
        <f>IF('Flow Indicator Parts List'!$D$2="CDN$",_xlfn.XLOOKUP(A2259,Prices!A:A,Prices!D:D),IF('Flow Indicator Parts List'!$D$2="US$",_xlfn.XLOOKUP(CurrencyModifier!A2259,Prices!A:A,Prices!E:E,"MISSING")))</f>
        <v>#N/A</v>
      </c>
    </row>
    <row r="2260" spans="1:2">
      <c r="A2260">
        <f>Prices!A2266</f>
        <v>0</v>
      </c>
      <c r="B2260" s="470" t="e">
        <f>IF('Flow Indicator Parts List'!$D$2="CDN$",_xlfn.XLOOKUP(A2260,Prices!A:A,Prices!D:D),IF('Flow Indicator Parts List'!$D$2="US$",_xlfn.XLOOKUP(CurrencyModifier!A2260,Prices!A:A,Prices!E:E,"MISSING")))</f>
        <v>#N/A</v>
      </c>
    </row>
    <row r="2261" spans="1:2">
      <c r="A2261">
        <f>Prices!A2267</f>
        <v>0</v>
      </c>
      <c r="B2261" s="470" t="e">
        <f>IF('Flow Indicator Parts List'!$D$2="CDN$",_xlfn.XLOOKUP(A2261,Prices!A:A,Prices!D:D),IF('Flow Indicator Parts List'!$D$2="US$",_xlfn.XLOOKUP(CurrencyModifier!A2261,Prices!A:A,Prices!E:E,"MISSING")))</f>
        <v>#N/A</v>
      </c>
    </row>
    <row r="2262" spans="1:2">
      <c r="A2262">
        <f>Prices!A2268</f>
        <v>0</v>
      </c>
      <c r="B2262" s="470" t="e">
        <f>IF('Flow Indicator Parts List'!$D$2="CDN$",_xlfn.XLOOKUP(A2262,Prices!A:A,Prices!D:D),IF('Flow Indicator Parts List'!$D$2="US$",_xlfn.XLOOKUP(CurrencyModifier!A2262,Prices!A:A,Prices!E:E,"MISSING")))</f>
        <v>#N/A</v>
      </c>
    </row>
    <row r="2263" spans="1:2">
      <c r="A2263">
        <f>Prices!A2269</f>
        <v>0</v>
      </c>
      <c r="B2263" s="470" t="e">
        <f>IF('Flow Indicator Parts List'!$D$2="CDN$",_xlfn.XLOOKUP(A2263,Prices!A:A,Prices!D:D),IF('Flow Indicator Parts List'!$D$2="US$",_xlfn.XLOOKUP(CurrencyModifier!A2263,Prices!A:A,Prices!E:E,"MISSING")))</f>
        <v>#N/A</v>
      </c>
    </row>
    <row r="2264" spans="1:2">
      <c r="A2264">
        <f>Prices!A2270</f>
        <v>0</v>
      </c>
      <c r="B2264" s="470" t="e">
        <f>IF('Flow Indicator Parts List'!$D$2="CDN$",_xlfn.XLOOKUP(A2264,Prices!A:A,Prices!D:D),IF('Flow Indicator Parts List'!$D$2="US$",_xlfn.XLOOKUP(CurrencyModifier!A2264,Prices!A:A,Prices!E:E,"MISSING")))</f>
        <v>#N/A</v>
      </c>
    </row>
    <row r="2265" spans="1:2">
      <c r="A2265">
        <f>Prices!A2271</f>
        <v>0</v>
      </c>
      <c r="B2265" s="470" t="e">
        <f>IF('Flow Indicator Parts List'!$D$2="CDN$",_xlfn.XLOOKUP(A2265,Prices!A:A,Prices!D:D),IF('Flow Indicator Parts List'!$D$2="US$",_xlfn.XLOOKUP(CurrencyModifier!A2265,Prices!A:A,Prices!E:E,"MISSING")))</f>
        <v>#N/A</v>
      </c>
    </row>
    <row r="2266" spans="1:2">
      <c r="A2266">
        <f>Prices!A2272</f>
        <v>0</v>
      </c>
      <c r="B2266" s="470" t="e">
        <f>IF('Flow Indicator Parts List'!$D$2="CDN$",_xlfn.XLOOKUP(A2266,Prices!A:A,Prices!D:D),IF('Flow Indicator Parts List'!$D$2="US$",_xlfn.XLOOKUP(CurrencyModifier!A2266,Prices!A:A,Prices!E:E,"MISSING")))</f>
        <v>#N/A</v>
      </c>
    </row>
    <row r="2267" spans="1:2">
      <c r="A2267">
        <f>Prices!A2273</f>
        <v>0</v>
      </c>
      <c r="B2267" s="470" t="e">
        <f>IF('Flow Indicator Parts List'!$D$2="CDN$",_xlfn.XLOOKUP(A2267,Prices!A:A,Prices!D:D),IF('Flow Indicator Parts List'!$D$2="US$",_xlfn.XLOOKUP(CurrencyModifier!A2267,Prices!A:A,Prices!E:E,"MISSING")))</f>
        <v>#N/A</v>
      </c>
    </row>
    <row r="2268" spans="1:2">
      <c r="A2268">
        <f>Prices!A2274</f>
        <v>0</v>
      </c>
      <c r="B2268" s="470" t="e">
        <f>IF('Flow Indicator Parts List'!$D$2="CDN$",_xlfn.XLOOKUP(A2268,Prices!A:A,Prices!D:D),IF('Flow Indicator Parts List'!$D$2="US$",_xlfn.XLOOKUP(CurrencyModifier!A2268,Prices!A:A,Prices!E:E,"MISSING")))</f>
        <v>#N/A</v>
      </c>
    </row>
    <row r="2269" spans="1:2">
      <c r="A2269">
        <f>Prices!A2275</f>
        <v>0</v>
      </c>
      <c r="B2269" s="470" t="e">
        <f>IF('Flow Indicator Parts List'!$D$2="CDN$",_xlfn.XLOOKUP(A2269,Prices!A:A,Prices!D:D),IF('Flow Indicator Parts List'!$D$2="US$",_xlfn.XLOOKUP(CurrencyModifier!A2269,Prices!A:A,Prices!E:E,"MISSING")))</f>
        <v>#N/A</v>
      </c>
    </row>
    <row r="2270" spans="1:2">
      <c r="A2270">
        <f>Prices!A2276</f>
        <v>0</v>
      </c>
      <c r="B2270" s="470" t="e">
        <f>IF('Flow Indicator Parts List'!$D$2="CDN$",_xlfn.XLOOKUP(A2270,Prices!A:A,Prices!D:D),IF('Flow Indicator Parts List'!$D$2="US$",_xlfn.XLOOKUP(CurrencyModifier!A2270,Prices!A:A,Prices!E:E,"MISSING")))</f>
        <v>#N/A</v>
      </c>
    </row>
    <row r="2271" spans="1:2">
      <c r="A2271">
        <f>Prices!A2277</f>
        <v>0</v>
      </c>
      <c r="B2271" s="470" t="e">
        <f>IF('Flow Indicator Parts List'!$D$2="CDN$",_xlfn.XLOOKUP(A2271,Prices!A:A,Prices!D:D),IF('Flow Indicator Parts List'!$D$2="US$",_xlfn.XLOOKUP(CurrencyModifier!A2271,Prices!A:A,Prices!E:E,"MISSING")))</f>
        <v>#N/A</v>
      </c>
    </row>
    <row r="2272" spans="1:2">
      <c r="A2272">
        <f>Prices!A2278</f>
        <v>0</v>
      </c>
      <c r="B2272" s="470" t="e">
        <f>IF('Flow Indicator Parts List'!$D$2="CDN$",_xlfn.XLOOKUP(A2272,Prices!A:A,Prices!D:D),IF('Flow Indicator Parts List'!$D$2="US$",_xlfn.XLOOKUP(CurrencyModifier!A2272,Prices!A:A,Prices!E:E,"MISSING")))</f>
        <v>#N/A</v>
      </c>
    </row>
    <row r="2273" spans="1:2">
      <c r="A2273">
        <f>Prices!A2279</f>
        <v>0</v>
      </c>
      <c r="B2273" s="470" t="e">
        <f>IF('Flow Indicator Parts List'!$D$2="CDN$",_xlfn.XLOOKUP(A2273,Prices!A:A,Prices!D:D),IF('Flow Indicator Parts List'!$D$2="US$",_xlfn.XLOOKUP(CurrencyModifier!A2273,Prices!A:A,Prices!E:E,"MISSING")))</f>
        <v>#N/A</v>
      </c>
    </row>
    <row r="2274" spans="1:2">
      <c r="A2274">
        <f>Prices!A2280</f>
        <v>0</v>
      </c>
      <c r="B2274" s="470" t="e">
        <f>IF('Flow Indicator Parts List'!$D$2="CDN$",_xlfn.XLOOKUP(A2274,Prices!A:A,Prices!D:D),IF('Flow Indicator Parts List'!$D$2="US$",_xlfn.XLOOKUP(CurrencyModifier!A2274,Prices!A:A,Prices!E:E,"MISSING")))</f>
        <v>#N/A</v>
      </c>
    </row>
    <row r="2275" spans="1:2">
      <c r="A2275">
        <f>Prices!A2281</f>
        <v>0</v>
      </c>
      <c r="B2275" s="470" t="e">
        <f>IF('Flow Indicator Parts List'!$D$2="CDN$",_xlfn.XLOOKUP(A2275,Prices!A:A,Prices!D:D),IF('Flow Indicator Parts List'!$D$2="US$",_xlfn.XLOOKUP(CurrencyModifier!A2275,Prices!A:A,Prices!E:E,"MISSING")))</f>
        <v>#N/A</v>
      </c>
    </row>
    <row r="2276" spans="1:2">
      <c r="A2276">
        <f>Prices!A2282</f>
        <v>0</v>
      </c>
      <c r="B2276" s="470" t="e">
        <f>IF('Flow Indicator Parts List'!$D$2="CDN$",_xlfn.XLOOKUP(A2276,Prices!A:A,Prices!D:D),IF('Flow Indicator Parts List'!$D$2="US$",_xlfn.XLOOKUP(CurrencyModifier!A2276,Prices!A:A,Prices!E:E,"MISSING")))</f>
        <v>#N/A</v>
      </c>
    </row>
    <row r="2277" spans="1:2">
      <c r="A2277">
        <f>Prices!A2283</f>
        <v>0</v>
      </c>
      <c r="B2277" s="470" t="e">
        <f>IF('Flow Indicator Parts List'!$D$2="CDN$",_xlfn.XLOOKUP(A2277,Prices!A:A,Prices!D:D),IF('Flow Indicator Parts List'!$D$2="US$",_xlfn.XLOOKUP(CurrencyModifier!A2277,Prices!A:A,Prices!E:E,"MISSING")))</f>
        <v>#N/A</v>
      </c>
    </row>
    <row r="2278" spans="1:2">
      <c r="A2278">
        <f>Prices!A2284</f>
        <v>0</v>
      </c>
      <c r="B2278" s="470" t="e">
        <f>IF('Flow Indicator Parts List'!$D$2="CDN$",_xlfn.XLOOKUP(A2278,Prices!A:A,Prices!D:D),IF('Flow Indicator Parts List'!$D$2="US$",_xlfn.XLOOKUP(CurrencyModifier!A2278,Prices!A:A,Prices!E:E,"MISSING")))</f>
        <v>#N/A</v>
      </c>
    </row>
    <row r="2279" spans="1:2">
      <c r="A2279">
        <f>Prices!A2285</f>
        <v>0</v>
      </c>
      <c r="B2279" s="470" t="e">
        <f>IF('Flow Indicator Parts List'!$D$2="CDN$",_xlfn.XLOOKUP(A2279,Prices!A:A,Prices!D:D),IF('Flow Indicator Parts List'!$D$2="US$",_xlfn.XLOOKUP(CurrencyModifier!A2279,Prices!A:A,Prices!E:E,"MISSING")))</f>
        <v>#N/A</v>
      </c>
    </row>
    <row r="2280" spans="1:2">
      <c r="A2280">
        <f>Prices!A2286</f>
        <v>0</v>
      </c>
      <c r="B2280" s="470" t="e">
        <f>IF('Flow Indicator Parts List'!$D$2="CDN$",_xlfn.XLOOKUP(A2280,Prices!A:A,Prices!D:D),IF('Flow Indicator Parts List'!$D$2="US$",_xlfn.XLOOKUP(CurrencyModifier!A2280,Prices!A:A,Prices!E:E,"MISSING")))</f>
        <v>#N/A</v>
      </c>
    </row>
    <row r="2281" spans="1:2">
      <c r="A2281">
        <f>Prices!A2287</f>
        <v>0</v>
      </c>
      <c r="B2281" s="470" t="e">
        <f>IF('Flow Indicator Parts List'!$D$2="CDN$",_xlfn.XLOOKUP(A2281,Prices!A:A,Prices!D:D),IF('Flow Indicator Parts List'!$D$2="US$",_xlfn.XLOOKUP(CurrencyModifier!A2281,Prices!A:A,Prices!E:E,"MISSING")))</f>
        <v>#N/A</v>
      </c>
    </row>
    <row r="2282" spans="1:2">
      <c r="A2282">
        <f>Prices!A2288</f>
        <v>0</v>
      </c>
      <c r="B2282" s="470" t="e">
        <f>IF('Flow Indicator Parts List'!$D$2="CDN$",_xlfn.XLOOKUP(A2282,Prices!A:A,Prices!D:D),IF('Flow Indicator Parts List'!$D$2="US$",_xlfn.XLOOKUP(CurrencyModifier!A2282,Prices!A:A,Prices!E:E,"MISSING")))</f>
        <v>#N/A</v>
      </c>
    </row>
    <row r="2283" spans="1:2">
      <c r="A2283">
        <f>Prices!A2289</f>
        <v>0</v>
      </c>
      <c r="B2283" s="470" t="e">
        <f>IF('Flow Indicator Parts List'!$D$2="CDN$",_xlfn.XLOOKUP(A2283,Prices!A:A,Prices!D:D),IF('Flow Indicator Parts List'!$D$2="US$",_xlfn.XLOOKUP(CurrencyModifier!A2283,Prices!A:A,Prices!E:E,"MISSING")))</f>
        <v>#N/A</v>
      </c>
    </row>
    <row r="2284" spans="1:2">
      <c r="A2284">
        <f>Prices!A2290</f>
        <v>0</v>
      </c>
      <c r="B2284" s="470" t="e">
        <f>IF('Flow Indicator Parts List'!$D$2="CDN$",_xlfn.XLOOKUP(A2284,Prices!A:A,Prices!D:D),IF('Flow Indicator Parts List'!$D$2="US$",_xlfn.XLOOKUP(CurrencyModifier!A2284,Prices!A:A,Prices!E:E,"MISSING")))</f>
        <v>#N/A</v>
      </c>
    </row>
    <row r="2285" spans="1:2">
      <c r="A2285">
        <f>Prices!A2291</f>
        <v>0</v>
      </c>
      <c r="B2285" s="470" t="e">
        <f>IF('Flow Indicator Parts List'!$D$2="CDN$",_xlfn.XLOOKUP(A2285,Prices!A:A,Prices!D:D),IF('Flow Indicator Parts List'!$D$2="US$",_xlfn.XLOOKUP(CurrencyModifier!A2285,Prices!A:A,Prices!E:E,"MISSING")))</f>
        <v>#N/A</v>
      </c>
    </row>
    <row r="2286" spans="1:2">
      <c r="A2286">
        <f>Prices!A2292</f>
        <v>0</v>
      </c>
      <c r="B2286" s="470" t="e">
        <f>IF('Flow Indicator Parts List'!$D$2="CDN$",_xlfn.XLOOKUP(A2286,Prices!A:A,Prices!D:D),IF('Flow Indicator Parts List'!$D$2="US$",_xlfn.XLOOKUP(CurrencyModifier!A2286,Prices!A:A,Prices!E:E,"MISSING")))</f>
        <v>#N/A</v>
      </c>
    </row>
    <row r="2287" spans="1:2">
      <c r="A2287">
        <f>Prices!A2293</f>
        <v>0</v>
      </c>
      <c r="B2287" s="470" t="e">
        <f>IF('Flow Indicator Parts List'!$D$2="CDN$",_xlfn.XLOOKUP(A2287,Prices!A:A,Prices!D:D),IF('Flow Indicator Parts List'!$D$2="US$",_xlfn.XLOOKUP(CurrencyModifier!A2287,Prices!A:A,Prices!E:E,"MISSING")))</f>
        <v>#N/A</v>
      </c>
    </row>
    <row r="2288" spans="1:2">
      <c r="A2288">
        <f>Prices!A2294</f>
        <v>0</v>
      </c>
      <c r="B2288" s="470" t="e">
        <f>IF('Flow Indicator Parts List'!$D$2="CDN$",_xlfn.XLOOKUP(A2288,Prices!A:A,Prices!D:D),IF('Flow Indicator Parts List'!$D$2="US$",_xlfn.XLOOKUP(CurrencyModifier!A2288,Prices!A:A,Prices!E:E,"MISSING")))</f>
        <v>#N/A</v>
      </c>
    </row>
    <row r="2289" spans="1:2">
      <c r="A2289">
        <f>Prices!A2295</f>
        <v>0</v>
      </c>
      <c r="B2289" s="470" t="e">
        <f>IF('Flow Indicator Parts List'!$D$2="CDN$",_xlfn.XLOOKUP(A2289,Prices!A:A,Prices!D:D),IF('Flow Indicator Parts List'!$D$2="US$",_xlfn.XLOOKUP(CurrencyModifier!A2289,Prices!A:A,Prices!E:E,"MISSING")))</f>
        <v>#N/A</v>
      </c>
    </row>
    <row r="2290" spans="1:2">
      <c r="A2290">
        <f>Prices!A2296</f>
        <v>0</v>
      </c>
      <c r="B2290" s="470" t="e">
        <f>IF('Flow Indicator Parts List'!$D$2="CDN$",_xlfn.XLOOKUP(A2290,Prices!A:A,Prices!D:D),IF('Flow Indicator Parts List'!$D$2="US$",_xlfn.XLOOKUP(CurrencyModifier!A2290,Prices!A:A,Prices!E:E,"MISSING")))</f>
        <v>#N/A</v>
      </c>
    </row>
    <row r="2291" spans="1:2">
      <c r="A2291">
        <f>Prices!A2297</f>
        <v>0</v>
      </c>
      <c r="B2291" s="470" t="e">
        <f>IF('Flow Indicator Parts List'!$D$2="CDN$",_xlfn.XLOOKUP(A2291,Prices!A:A,Prices!D:D),IF('Flow Indicator Parts List'!$D$2="US$",_xlfn.XLOOKUP(CurrencyModifier!A2291,Prices!A:A,Prices!E:E,"MISSING")))</f>
        <v>#N/A</v>
      </c>
    </row>
    <row r="2292" spans="1:2">
      <c r="A2292">
        <f>Prices!A2298</f>
        <v>0</v>
      </c>
      <c r="B2292" s="470" t="e">
        <f>IF('Flow Indicator Parts List'!$D$2="CDN$",_xlfn.XLOOKUP(A2292,Prices!A:A,Prices!D:D),IF('Flow Indicator Parts List'!$D$2="US$",_xlfn.XLOOKUP(CurrencyModifier!A2292,Prices!A:A,Prices!E:E,"MISSING")))</f>
        <v>#N/A</v>
      </c>
    </row>
    <row r="2293" spans="1:2">
      <c r="A2293">
        <f>Prices!A2299</f>
        <v>0</v>
      </c>
      <c r="B2293" s="470" t="e">
        <f>IF('Flow Indicator Parts List'!$D$2="CDN$",_xlfn.XLOOKUP(A2293,Prices!A:A,Prices!D:D),IF('Flow Indicator Parts List'!$D$2="US$",_xlfn.XLOOKUP(CurrencyModifier!A2293,Prices!A:A,Prices!E:E,"MISSING")))</f>
        <v>#N/A</v>
      </c>
    </row>
    <row r="2294" spans="1:2">
      <c r="A2294">
        <f>Prices!A2300</f>
        <v>0</v>
      </c>
      <c r="B2294" s="470" t="e">
        <f>IF('Flow Indicator Parts List'!$D$2="CDN$",_xlfn.XLOOKUP(A2294,Prices!A:A,Prices!D:D),IF('Flow Indicator Parts List'!$D$2="US$",_xlfn.XLOOKUP(CurrencyModifier!A2294,Prices!A:A,Prices!E:E,"MISSING")))</f>
        <v>#N/A</v>
      </c>
    </row>
    <row r="2295" spans="1:2">
      <c r="A2295">
        <f>Prices!A2301</f>
        <v>0</v>
      </c>
      <c r="B2295" s="470" t="e">
        <f>IF('Flow Indicator Parts List'!$D$2="CDN$",_xlfn.XLOOKUP(A2295,Prices!A:A,Prices!D:D),IF('Flow Indicator Parts List'!$D$2="US$",_xlfn.XLOOKUP(CurrencyModifier!A2295,Prices!A:A,Prices!E:E,"MISSING")))</f>
        <v>#N/A</v>
      </c>
    </row>
    <row r="2296" spans="1:2">
      <c r="A2296">
        <f>Prices!A2302</f>
        <v>0</v>
      </c>
      <c r="B2296" s="470" t="e">
        <f>IF('Flow Indicator Parts List'!$D$2="CDN$",_xlfn.XLOOKUP(A2296,Prices!A:A,Prices!D:D),IF('Flow Indicator Parts List'!$D$2="US$",_xlfn.XLOOKUP(CurrencyModifier!A2296,Prices!A:A,Prices!E:E,"MISSING")))</f>
        <v>#N/A</v>
      </c>
    </row>
    <row r="2297" spans="1:2">
      <c r="A2297">
        <f>Prices!A2303</f>
        <v>0</v>
      </c>
      <c r="B2297" s="470" t="e">
        <f>IF('Flow Indicator Parts List'!$D$2="CDN$",_xlfn.XLOOKUP(A2297,Prices!A:A,Prices!D:D),IF('Flow Indicator Parts List'!$D$2="US$",_xlfn.XLOOKUP(CurrencyModifier!A2297,Prices!A:A,Prices!E:E,"MISSING")))</f>
        <v>#N/A</v>
      </c>
    </row>
    <row r="2298" spans="1:2">
      <c r="A2298">
        <f>Prices!A2304</f>
        <v>0</v>
      </c>
      <c r="B2298" s="470" t="e">
        <f>IF('Flow Indicator Parts List'!$D$2="CDN$",_xlfn.XLOOKUP(A2298,Prices!A:A,Prices!D:D),IF('Flow Indicator Parts List'!$D$2="US$",_xlfn.XLOOKUP(CurrencyModifier!A2298,Prices!A:A,Prices!E:E,"MISSING")))</f>
        <v>#N/A</v>
      </c>
    </row>
    <row r="2299" spans="1:2">
      <c r="A2299">
        <f>Prices!A2305</f>
        <v>0</v>
      </c>
      <c r="B2299" s="470" t="e">
        <f>IF('Flow Indicator Parts List'!$D$2="CDN$",_xlfn.XLOOKUP(A2299,Prices!A:A,Prices!D:D),IF('Flow Indicator Parts List'!$D$2="US$",_xlfn.XLOOKUP(CurrencyModifier!A2299,Prices!A:A,Prices!E:E,"MISSING")))</f>
        <v>#N/A</v>
      </c>
    </row>
    <row r="2300" spans="1:2">
      <c r="A2300">
        <f>Prices!A2306</f>
        <v>0</v>
      </c>
      <c r="B2300" s="470" t="e">
        <f>IF('Flow Indicator Parts List'!$D$2="CDN$",_xlfn.XLOOKUP(A2300,Prices!A:A,Prices!D:D),IF('Flow Indicator Parts List'!$D$2="US$",_xlfn.XLOOKUP(CurrencyModifier!A2300,Prices!A:A,Prices!E:E,"MISSING")))</f>
        <v>#N/A</v>
      </c>
    </row>
    <row r="2301" spans="1:2">
      <c r="A2301">
        <f>Prices!A2307</f>
        <v>0</v>
      </c>
      <c r="B2301" s="470" t="e">
        <f>IF('Flow Indicator Parts List'!$D$2="CDN$",_xlfn.XLOOKUP(A2301,Prices!A:A,Prices!D:D),IF('Flow Indicator Parts List'!$D$2="US$",_xlfn.XLOOKUP(CurrencyModifier!A2301,Prices!A:A,Prices!E:E,"MISSING")))</f>
        <v>#N/A</v>
      </c>
    </row>
    <row r="2302" spans="1:2">
      <c r="A2302">
        <f>Prices!A2308</f>
        <v>0</v>
      </c>
      <c r="B2302" s="470" t="e">
        <f>IF('Flow Indicator Parts List'!$D$2="CDN$",_xlfn.XLOOKUP(A2302,Prices!A:A,Prices!D:D),IF('Flow Indicator Parts List'!$D$2="US$",_xlfn.XLOOKUP(CurrencyModifier!A2302,Prices!A:A,Prices!E:E,"MISSING")))</f>
        <v>#N/A</v>
      </c>
    </row>
    <row r="2303" spans="1:2">
      <c r="A2303">
        <f>Prices!A2309</f>
        <v>0</v>
      </c>
      <c r="B2303" s="470" t="e">
        <f>IF('Flow Indicator Parts List'!$D$2="CDN$",_xlfn.XLOOKUP(A2303,Prices!A:A,Prices!D:D),IF('Flow Indicator Parts List'!$D$2="US$",_xlfn.XLOOKUP(CurrencyModifier!A2303,Prices!A:A,Prices!E:E,"MISSING")))</f>
        <v>#N/A</v>
      </c>
    </row>
    <row r="2304" spans="1:2">
      <c r="A2304">
        <f>Prices!A2310</f>
        <v>0</v>
      </c>
      <c r="B2304" s="470" t="e">
        <f>IF('Flow Indicator Parts List'!$D$2="CDN$",_xlfn.XLOOKUP(A2304,Prices!A:A,Prices!D:D),IF('Flow Indicator Parts List'!$D$2="US$",_xlfn.XLOOKUP(CurrencyModifier!A2304,Prices!A:A,Prices!E:E,"MISSING")))</f>
        <v>#N/A</v>
      </c>
    </row>
    <row r="2305" spans="1:2">
      <c r="A2305">
        <f>Prices!A2311</f>
        <v>0</v>
      </c>
      <c r="B2305" s="470" t="e">
        <f>IF('Flow Indicator Parts List'!$D$2="CDN$",_xlfn.XLOOKUP(A2305,Prices!A:A,Prices!D:D),IF('Flow Indicator Parts List'!$D$2="US$",_xlfn.XLOOKUP(CurrencyModifier!A2305,Prices!A:A,Prices!E:E,"MISSING")))</f>
        <v>#N/A</v>
      </c>
    </row>
    <row r="2306" spans="1:2">
      <c r="A2306">
        <f>Prices!A2312</f>
        <v>0</v>
      </c>
      <c r="B2306" s="470" t="e">
        <f>IF('Flow Indicator Parts List'!$D$2="CDN$",_xlfn.XLOOKUP(A2306,Prices!A:A,Prices!D:D),IF('Flow Indicator Parts List'!$D$2="US$",_xlfn.XLOOKUP(CurrencyModifier!A2306,Prices!A:A,Prices!E:E,"MISSING")))</f>
        <v>#N/A</v>
      </c>
    </row>
    <row r="2307" spans="1:2">
      <c r="A2307">
        <f>Prices!A2313</f>
        <v>0</v>
      </c>
      <c r="B2307" s="470" t="e">
        <f>IF('Flow Indicator Parts List'!$D$2="CDN$",_xlfn.XLOOKUP(A2307,Prices!A:A,Prices!D:D),IF('Flow Indicator Parts List'!$D$2="US$",_xlfn.XLOOKUP(CurrencyModifier!A2307,Prices!A:A,Prices!E:E,"MISSING")))</f>
        <v>#N/A</v>
      </c>
    </row>
    <row r="2308" spans="1:2">
      <c r="A2308">
        <f>Prices!A2314</f>
        <v>0</v>
      </c>
      <c r="B2308" s="470" t="e">
        <f>IF('Flow Indicator Parts List'!$D$2="CDN$",_xlfn.XLOOKUP(A2308,Prices!A:A,Prices!D:D),IF('Flow Indicator Parts List'!$D$2="US$",_xlfn.XLOOKUP(CurrencyModifier!A2308,Prices!A:A,Prices!E:E,"MISSING")))</f>
        <v>#N/A</v>
      </c>
    </row>
    <row r="2309" spans="1:2">
      <c r="A2309">
        <f>Prices!A2315</f>
        <v>0</v>
      </c>
      <c r="B2309" s="470" t="e">
        <f>IF('Flow Indicator Parts List'!$D$2="CDN$",_xlfn.XLOOKUP(A2309,Prices!A:A,Prices!D:D),IF('Flow Indicator Parts List'!$D$2="US$",_xlfn.XLOOKUP(CurrencyModifier!A2309,Prices!A:A,Prices!E:E,"MISSING")))</f>
        <v>#N/A</v>
      </c>
    </row>
    <row r="2310" spans="1:2">
      <c r="A2310">
        <f>Prices!A2316</f>
        <v>0</v>
      </c>
      <c r="B2310" s="470" t="e">
        <f>IF('Flow Indicator Parts List'!$D$2="CDN$",_xlfn.XLOOKUP(A2310,Prices!A:A,Prices!D:D),IF('Flow Indicator Parts List'!$D$2="US$",_xlfn.XLOOKUP(CurrencyModifier!A2310,Prices!A:A,Prices!E:E,"MISSING")))</f>
        <v>#N/A</v>
      </c>
    </row>
    <row r="2311" spans="1:2">
      <c r="A2311">
        <f>Prices!A2317</f>
        <v>0</v>
      </c>
      <c r="B2311" s="470" t="e">
        <f>IF('Flow Indicator Parts List'!$D$2="CDN$",_xlfn.XLOOKUP(A2311,Prices!A:A,Prices!D:D),IF('Flow Indicator Parts List'!$D$2="US$",_xlfn.XLOOKUP(CurrencyModifier!A2311,Prices!A:A,Prices!E:E,"MISSING")))</f>
        <v>#N/A</v>
      </c>
    </row>
    <row r="2312" spans="1:2">
      <c r="A2312">
        <f>Prices!A2318</f>
        <v>0</v>
      </c>
      <c r="B2312" s="470" t="e">
        <f>IF('Flow Indicator Parts List'!$D$2="CDN$",_xlfn.XLOOKUP(A2312,Prices!A:A,Prices!D:D),IF('Flow Indicator Parts List'!$D$2="US$",_xlfn.XLOOKUP(CurrencyModifier!A2312,Prices!A:A,Prices!E:E,"MISSING")))</f>
        <v>#N/A</v>
      </c>
    </row>
    <row r="2313" spans="1:2">
      <c r="A2313">
        <f>Prices!A2319</f>
        <v>0</v>
      </c>
      <c r="B2313" s="470" t="e">
        <f>IF('Flow Indicator Parts List'!$D$2="CDN$",_xlfn.XLOOKUP(A2313,Prices!A:A,Prices!D:D),IF('Flow Indicator Parts List'!$D$2="US$",_xlfn.XLOOKUP(CurrencyModifier!A2313,Prices!A:A,Prices!E:E,"MISSING")))</f>
        <v>#N/A</v>
      </c>
    </row>
    <row r="2314" spans="1:2">
      <c r="A2314">
        <f>Prices!A2320</f>
        <v>0</v>
      </c>
      <c r="B2314" s="470" t="e">
        <f>IF('Flow Indicator Parts List'!$D$2="CDN$",_xlfn.XLOOKUP(A2314,Prices!A:A,Prices!D:D),IF('Flow Indicator Parts List'!$D$2="US$",_xlfn.XLOOKUP(CurrencyModifier!A2314,Prices!A:A,Prices!E:E,"MISSING")))</f>
        <v>#N/A</v>
      </c>
    </row>
    <row r="2315" spans="1:2">
      <c r="A2315">
        <f>Prices!A2321</f>
        <v>0</v>
      </c>
      <c r="B2315" s="470" t="e">
        <f>IF('Flow Indicator Parts List'!$D$2="CDN$",_xlfn.XLOOKUP(A2315,Prices!A:A,Prices!D:D),IF('Flow Indicator Parts List'!$D$2="US$",_xlfn.XLOOKUP(CurrencyModifier!A2315,Prices!A:A,Prices!E:E,"MISSING")))</f>
        <v>#N/A</v>
      </c>
    </row>
    <row r="2316" spans="1:2">
      <c r="A2316">
        <f>Prices!A2322</f>
        <v>0</v>
      </c>
      <c r="B2316" s="470" t="e">
        <f>IF('Flow Indicator Parts List'!$D$2="CDN$",_xlfn.XLOOKUP(A2316,Prices!A:A,Prices!D:D),IF('Flow Indicator Parts List'!$D$2="US$",_xlfn.XLOOKUP(CurrencyModifier!A2316,Prices!A:A,Prices!E:E,"MISSING")))</f>
        <v>#N/A</v>
      </c>
    </row>
    <row r="2317" spans="1:2">
      <c r="A2317">
        <f>Prices!A2323</f>
        <v>0</v>
      </c>
      <c r="B2317" s="470" t="e">
        <f>IF('Flow Indicator Parts List'!$D$2="CDN$",_xlfn.XLOOKUP(A2317,Prices!A:A,Prices!D:D),IF('Flow Indicator Parts List'!$D$2="US$",_xlfn.XLOOKUP(CurrencyModifier!A2317,Prices!A:A,Prices!E:E,"MISSING")))</f>
        <v>#N/A</v>
      </c>
    </row>
    <row r="2318" spans="1:2">
      <c r="A2318">
        <f>Prices!A2324</f>
        <v>0</v>
      </c>
      <c r="B2318" s="470" t="e">
        <f>IF('Flow Indicator Parts List'!$D$2="CDN$",_xlfn.XLOOKUP(A2318,Prices!A:A,Prices!D:D),IF('Flow Indicator Parts List'!$D$2="US$",_xlfn.XLOOKUP(CurrencyModifier!A2318,Prices!A:A,Prices!E:E,"MISSING")))</f>
        <v>#N/A</v>
      </c>
    </row>
    <row r="2319" spans="1:2">
      <c r="A2319">
        <f>Prices!A2325</f>
        <v>0</v>
      </c>
      <c r="B2319" s="470" t="e">
        <f>IF('Flow Indicator Parts List'!$D$2="CDN$",_xlfn.XLOOKUP(A2319,Prices!A:A,Prices!D:D),IF('Flow Indicator Parts List'!$D$2="US$",_xlfn.XLOOKUP(CurrencyModifier!A2319,Prices!A:A,Prices!E:E,"MISSING")))</f>
        <v>#N/A</v>
      </c>
    </row>
    <row r="2320" spans="1:2">
      <c r="A2320">
        <f>Prices!A2326</f>
        <v>0</v>
      </c>
      <c r="B2320" s="470" t="e">
        <f>IF('Flow Indicator Parts List'!$D$2="CDN$",_xlfn.XLOOKUP(A2320,Prices!A:A,Prices!D:D),IF('Flow Indicator Parts List'!$D$2="US$",_xlfn.XLOOKUP(CurrencyModifier!A2320,Prices!A:A,Prices!E:E,"MISSING")))</f>
        <v>#N/A</v>
      </c>
    </row>
    <row r="2321" spans="1:2">
      <c r="A2321">
        <f>Prices!A2327</f>
        <v>0</v>
      </c>
      <c r="B2321" s="470" t="e">
        <f>IF('Flow Indicator Parts List'!$D$2="CDN$",_xlfn.XLOOKUP(A2321,Prices!A:A,Prices!D:D),IF('Flow Indicator Parts List'!$D$2="US$",_xlfn.XLOOKUP(CurrencyModifier!A2321,Prices!A:A,Prices!E:E,"MISSING")))</f>
        <v>#N/A</v>
      </c>
    </row>
    <row r="2322" spans="1:2">
      <c r="A2322">
        <f>Prices!A2328</f>
        <v>0</v>
      </c>
      <c r="B2322" s="470" t="e">
        <f>IF('Flow Indicator Parts List'!$D$2="CDN$",_xlfn.XLOOKUP(A2322,Prices!A:A,Prices!D:D),IF('Flow Indicator Parts List'!$D$2="US$",_xlfn.XLOOKUP(CurrencyModifier!A2322,Prices!A:A,Prices!E:E,"MISSING")))</f>
        <v>#N/A</v>
      </c>
    </row>
    <row r="2323" spans="1:2">
      <c r="A2323">
        <f>Prices!A2329</f>
        <v>0</v>
      </c>
      <c r="B2323" s="470" t="e">
        <f>IF('Flow Indicator Parts List'!$D$2="CDN$",_xlfn.XLOOKUP(A2323,Prices!A:A,Prices!D:D),IF('Flow Indicator Parts List'!$D$2="US$",_xlfn.XLOOKUP(CurrencyModifier!A2323,Prices!A:A,Prices!E:E,"MISSING")))</f>
        <v>#N/A</v>
      </c>
    </row>
    <row r="2324" spans="1:2">
      <c r="A2324">
        <f>Prices!A2330</f>
        <v>0</v>
      </c>
      <c r="B2324" s="470" t="e">
        <f>IF('Flow Indicator Parts List'!$D$2="CDN$",_xlfn.XLOOKUP(A2324,Prices!A:A,Prices!D:D),IF('Flow Indicator Parts List'!$D$2="US$",_xlfn.XLOOKUP(CurrencyModifier!A2324,Prices!A:A,Prices!E:E,"MISSING")))</f>
        <v>#N/A</v>
      </c>
    </row>
    <row r="2325" spans="1:2">
      <c r="A2325">
        <f>Prices!A2331</f>
        <v>0</v>
      </c>
      <c r="B2325" s="470" t="e">
        <f>IF('Flow Indicator Parts List'!$D$2="CDN$",_xlfn.XLOOKUP(A2325,Prices!A:A,Prices!D:D),IF('Flow Indicator Parts List'!$D$2="US$",_xlfn.XLOOKUP(CurrencyModifier!A2325,Prices!A:A,Prices!E:E,"MISSING")))</f>
        <v>#N/A</v>
      </c>
    </row>
    <row r="2326" spans="1:2">
      <c r="A2326">
        <f>Prices!A2332</f>
        <v>0</v>
      </c>
      <c r="B2326" s="470" t="e">
        <f>IF('Flow Indicator Parts List'!$D$2="CDN$",_xlfn.XLOOKUP(A2326,Prices!A:A,Prices!D:D),IF('Flow Indicator Parts List'!$D$2="US$",_xlfn.XLOOKUP(CurrencyModifier!A2326,Prices!A:A,Prices!E:E,"MISSING")))</f>
        <v>#N/A</v>
      </c>
    </row>
    <row r="2327" spans="1:2">
      <c r="A2327">
        <f>Prices!A2333</f>
        <v>0</v>
      </c>
      <c r="B2327" s="470" t="e">
        <f>IF('Flow Indicator Parts List'!$D$2="CDN$",_xlfn.XLOOKUP(A2327,Prices!A:A,Prices!D:D),IF('Flow Indicator Parts List'!$D$2="US$",_xlfn.XLOOKUP(CurrencyModifier!A2327,Prices!A:A,Prices!E:E,"MISSING")))</f>
        <v>#N/A</v>
      </c>
    </row>
    <row r="2328" spans="1:2">
      <c r="A2328">
        <f>Prices!A2334</f>
        <v>0</v>
      </c>
      <c r="B2328" s="470" t="e">
        <f>IF('Flow Indicator Parts List'!$D$2="CDN$",_xlfn.XLOOKUP(A2328,Prices!A:A,Prices!D:D),IF('Flow Indicator Parts List'!$D$2="US$",_xlfn.XLOOKUP(CurrencyModifier!A2328,Prices!A:A,Prices!E:E,"MISSING")))</f>
        <v>#N/A</v>
      </c>
    </row>
    <row r="2329" spans="1:2">
      <c r="A2329">
        <f>Prices!A2335</f>
        <v>0</v>
      </c>
      <c r="B2329" s="470" t="e">
        <f>IF('Flow Indicator Parts List'!$D$2="CDN$",_xlfn.XLOOKUP(A2329,Prices!A:A,Prices!D:D),IF('Flow Indicator Parts List'!$D$2="US$",_xlfn.XLOOKUP(CurrencyModifier!A2329,Prices!A:A,Prices!E:E,"MISSING")))</f>
        <v>#N/A</v>
      </c>
    </row>
    <row r="2330" spans="1:2">
      <c r="A2330">
        <f>Prices!A2336</f>
        <v>0</v>
      </c>
      <c r="B2330" s="470" t="e">
        <f>IF('Flow Indicator Parts List'!$D$2="CDN$",_xlfn.XLOOKUP(A2330,Prices!A:A,Prices!D:D),IF('Flow Indicator Parts List'!$D$2="US$",_xlfn.XLOOKUP(CurrencyModifier!A2330,Prices!A:A,Prices!E:E,"MISSING")))</f>
        <v>#N/A</v>
      </c>
    </row>
    <row r="2331" spans="1:2">
      <c r="A2331">
        <f>Prices!A2337</f>
        <v>0</v>
      </c>
      <c r="B2331" s="470" t="e">
        <f>IF('Flow Indicator Parts List'!$D$2="CDN$",_xlfn.XLOOKUP(A2331,Prices!A:A,Prices!D:D),IF('Flow Indicator Parts List'!$D$2="US$",_xlfn.XLOOKUP(CurrencyModifier!A2331,Prices!A:A,Prices!E:E,"MISSING")))</f>
        <v>#N/A</v>
      </c>
    </row>
    <row r="2332" spans="1:2">
      <c r="A2332">
        <f>Prices!A2338</f>
        <v>0</v>
      </c>
      <c r="B2332" s="470" t="e">
        <f>IF('Flow Indicator Parts List'!$D$2="CDN$",_xlfn.XLOOKUP(A2332,Prices!A:A,Prices!D:D),IF('Flow Indicator Parts List'!$D$2="US$",_xlfn.XLOOKUP(CurrencyModifier!A2332,Prices!A:A,Prices!E:E,"MISSING")))</f>
        <v>#N/A</v>
      </c>
    </row>
    <row r="2333" spans="1:2">
      <c r="A2333">
        <f>Prices!A2339</f>
        <v>0</v>
      </c>
      <c r="B2333" s="470" t="e">
        <f>IF('Flow Indicator Parts List'!$D$2="CDN$",_xlfn.XLOOKUP(A2333,Prices!A:A,Prices!D:D),IF('Flow Indicator Parts List'!$D$2="US$",_xlfn.XLOOKUP(CurrencyModifier!A2333,Prices!A:A,Prices!E:E,"MISSING")))</f>
        <v>#N/A</v>
      </c>
    </row>
    <row r="2334" spans="1:2">
      <c r="A2334">
        <f>Prices!A2340</f>
        <v>0</v>
      </c>
      <c r="B2334" s="470" t="e">
        <f>IF('Flow Indicator Parts List'!$D$2="CDN$",_xlfn.XLOOKUP(A2334,Prices!A:A,Prices!D:D),IF('Flow Indicator Parts List'!$D$2="US$",_xlfn.XLOOKUP(CurrencyModifier!A2334,Prices!A:A,Prices!E:E,"MISSING")))</f>
        <v>#N/A</v>
      </c>
    </row>
    <row r="2335" spans="1:2">
      <c r="A2335">
        <f>Prices!A2341</f>
        <v>0</v>
      </c>
      <c r="B2335" s="470" t="e">
        <f>IF('Flow Indicator Parts List'!$D$2="CDN$",_xlfn.XLOOKUP(A2335,Prices!A:A,Prices!D:D),IF('Flow Indicator Parts List'!$D$2="US$",_xlfn.XLOOKUP(CurrencyModifier!A2335,Prices!A:A,Prices!E:E,"MISSING")))</f>
        <v>#N/A</v>
      </c>
    </row>
    <row r="2336" spans="1:2">
      <c r="A2336">
        <f>Prices!A2342</f>
        <v>0</v>
      </c>
      <c r="B2336" s="470" t="e">
        <f>IF('Flow Indicator Parts List'!$D$2="CDN$",_xlfn.XLOOKUP(A2336,Prices!A:A,Prices!D:D),IF('Flow Indicator Parts List'!$D$2="US$",_xlfn.XLOOKUP(CurrencyModifier!A2336,Prices!A:A,Prices!E:E,"MISSING")))</f>
        <v>#N/A</v>
      </c>
    </row>
    <row r="2337" spans="1:2">
      <c r="A2337">
        <f>Prices!A2343</f>
        <v>0</v>
      </c>
      <c r="B2337" s="470" t="e">
        <f>IF('Flow Indicator Parts List'!$D$2="CDN$",_xlfn.XLOOKUP(A2337,Prices!A:A,Prices!D:D),IF('Flow Indicator Parts List'!$D$2="US$",_xlfn.XLOOKUP(CurrencyModifier!A2337,Prices!A:A,Prices!E:E,"MISSING")))</f>
        <v>#N/A</v>
      </c>
    </row>
    <row r="2338" spans="1:2">
      <c r="A2338">
        <f>Prices!A2344</f>
        <v>0</v>
      </c>
      <c r="B2338" s="470" t="e">
        <f>IF('Flow Indicator Parts List'!$D$2="CDN$",_xlfn.XLOOKUP(A2338,Prices!A:A,Prices!D:D),IF('Flow Indicator Parts List'!$D$2="US$",_xlfn.XLOOKUP(CurrencyModifier!A2338,Prices!A:A,Prices!E:E,"MISSING")))</f>
        <v>#N/A</v>
      </c>
    </row>
    <row r="2339" spans="1:2">
      <c r="A2339">
        <f>Prices!A2345</f>
        <v>0</v>
      </c>
      <c r="B2339" s="470" t="e">
        <f>IF('Flow Indicator Parts List'!$D$2="CDN$",_xlfn.XLOOKUP(A2339,Prices!A:A,Prices!D:D),IF('Flow Indicator Parts List'!$D$2="US$",_xlfn.XLOOKUP(CurrencyModifier!A2339,Prices!A:A,Prices!E:E,"MISSING")))</f>
        <v>#N/A</v>
      </c>
    </row>
    <row r="2340" spans="1:2">
      <c r="A2340">
        <f>Prices!A2346</f>
        <v>0</v>
      </c>
      <c r="B2340" s="470" t="e">
        <f>IF('Flow Indicator Parts List'!$D$2="CDN$",_xlfn.XLOOKUP(A2340,Prices!A:A,Prices!D:D),IF('Flow Indicator Parts List'!$D$2="US$",_xlfn.XLOOKUP(CurrencyModifier!A2340,Prices!A:A,Prices!E:E,"MISSING")))</f>
        <v>#N/A</v>
      </c>
    </row>
    <row r="2341" spans="1:2">
      <c r="A2341">
        <f>Prices!A2347</f>
        <v>0</v>
      </c>
      <c r="B2341" s="470" t="e">
        <f>IF('Flow Indicator Parts List'!$D$2="CDN$",_xlfn.XLOOKUP(A2341,Prices!A:A,Prices!D:D),IF('Flow Indicator Parts List'!$D$2="US$",_xlfn.XLOOKUP(CurrencyModifier!A2341,Prices!A:A,Prices!E:E,"MISSING")))</f>
        <v>#N/A</v>
      </c>
    </row>
    <row r="2342" spans="1:2">
      <c r="A2342">
        <f>Prices!A2348</f>
        <v>0</v>
      </c>
      <c r="B2342" s="470" t="e">
        <f>IF('Flow Indicator Parts List'!$D$2="CDN$",_xlfn.XLOOKUP(A2342,Prices!A:A,Prices!D:D),IF('Flow Indicator Parts List'!$D$2="US$",_xlfn.XLOOKUP(CurrencyModifier!A2342,Prices!A:A,Prices!E:E,"MISSING")))</f>
        <v>#N/A</v>
      </c>
    </row>
    <row r="2343" spans="1:2">
      <c r="A2343">
        <f>Prices!A2349</f>
        <v>0</v>
      </c>
      <c r="B2343" s="470" t="e">
        <f>IF('Flow Indicator Parts List'!$D$2="CDN$",_xlfn.XLOOKUP(A2343,Prices!A:A,Prices!D:D),IF('Flow Indicator Parts List'!$D$2="US$",_xlfn.XLOOKUP(CurrencyModifier!A2343,Prices!A:A,Prices!E:E,"MISSING")))</f>
        <v>#N/A</v>
      </c>
    </row>
    <row r="2344" spans="1:2">
      <c r="A2344">
        <f>Prices!A2350</f>
        <v>0</v>
      </c>
      <c r="B2344" s="470" t="e">
        <f>IF('Flow Indicator Parts List'!$D$2="CDN$",_xlfn.XLOOKUP(A2344,Prices!A:A,Prices!D:D),IF('Flow Indicator Parts List'!$D$2="US$",_xlfn.XLOOKUP(CurrencyModifier!A2344,Prices!A:A,Prices!E:E,"MISSING")))</f>
        <v>#N/A</v>
      </c>
    </row>
    <row r="2345" spans="1:2">
      <c r="A2345">
        <f>Prices!A2351</f>
        <v>0</v>
      </c>
      <c r="B2345" s="470" t="e">
        <f>IF('Flow Indicator Parts List'!$D$2="CDN$",_xlfn.XLOOKUP(A2345,Prices!A:A,Prices!D:D),IF('Flow Indicator Parts List'!$D$2="US$",_xlfn.XLOOKUP(CurrencyModifier!A2345,Prices!A:A,Prices!E:E,"MISSING")))</f>
        <v>#N/A</v>
      </c>
    </row>
    <row r="2346" spans="1:2">
      <c r="A2346">
        <f>Prices!A2352</f>
        <v>0</v>
      </c>
      <c r="B2346" s="470" t="e">
        <f>IF('Flow Indicator Parts List'!$D$2="CDN$",_xlfn.XLOOKUP(A2346,Prices!A:A,Prices!D:D),IF('Flow Indicator Parts List'!$D$2="US$",_xlfn.XLOOKUP(CurrencyModifier!A2346,Prices!A:A,Prices!E:E,"MISSING")))</f>
        <v>#N/A</v>
      </c>
    </row>
    <row r="2347" spans="1:2">
      <c r="A2347">
        <f>Prices!A2353</f>
        <v>0</v>
      </c>
      <c r="B2347" s="470" t="e">
        <f>IF('Flow Indicator Parts List'!$D$2="CDN$",_xlfn.XLOOKUP(A2347,Prices!A:A,Prices!D:D),IF('Flow Indicator Parts List'!$D$2="US$",_xlfn.XLOOKUP(CurrencyModifier!A2347,Prices!A:A,Prices!E:E,"MISSING")))</f>
        <v>#N/A</v>
      </c>
    </row>
    <row r="2348" spans="1:2">
      <c r="A2348">
        <f>Prices!A2354</f>
        <v>0</v>
      </c>
      <c r="B2348" s="470" t="e">
        <f>IF('Flow Indicator Parts List'!$D$2="CDN$",_xlfn.XLOOKUP(A2348,Prices!A:A,Prices!D:D),IF('Flow Indicator Parts List'!$D$2="US$",_xlfn.XLOOKUP(CurrencyModifier!A2348,Prices!A:A,Prices!E:E,"MISSING")))</f>
        <v>#N/A</v>
      </c>
    </row>
    <row r="2349" spans="1:2">
      <c r="A2349">
        <f>Prices!A2355</f>
        <v>0</v>
      </c>
      <c r="B2349" s="470" t="e">
        <f>IF('Flow Indicator Parts List'!$D$2="CDN$",_xlfn.XLOOKUP(A2349,Prices!A:A,Prices!D:D),IF('Flow Indicator Parts List'!$D$2="US$",_xlfn.XLOOKUP(CurrencyModifier!A2349,Prices!A:A,Prices!E:E,"MISSING")))</f>
        <v>#N/A</v>
      </c>
    </row>
    <row r="2350" spans="1:2">
      <c r="A2350">
        <f>Prices!A2356</f>
        <v>0</v>
      </c>
      <c r="B2350" s="470" t="e">
        <f>IF('Flow Indicator Parts List'!$D$2="CDN$",_xlfn.XLOOKUP(A2350,Prices!A:A,Prices!D:D),IF('Flow Indicator Parts List'!$D$2="US$",_xlfn.XLOOKUP(CurrencyModifier!A2350,Prices!A:A,Prices!E:E,"MISSING")))</f>
        <v>#N/A</v>
      </c>
    </row>
    <row r="2351" spans="1:2">
      <c r="A2351">
        <f>Prices!A2357</f>
        <v>0</v>
      </c>
      <c r="B2351" s="470" t="e">
        <f>IF('Flow Indicator Parts List'!$D$2="CDN$",_xlfn.XLOOKUP(A2351,Prices!A:A,Prices!D:D),IF('Flow Indicator Parts List'!$D$2="US$",_xlfn.XLOOKUP(CurrencyModifier!A2351,Prices!A:A,Prices!E:E,"MISSING")))</f>
        <v>#N/A</v>
      </c>
    </row>
    <row r="2352" spans="1:2">
      <c r="A2352">
        <f>Prices!A2358</f>
        <v>0</v>
      </c>
      <c r="B2352" s="470" t="e">
        <f>IF('Flow Indicator Parts List'!$D$2="CDN$",_xlfn.XLOOKUP(A2352,Prices!A:A,Prices!D:D),IF('Flow Indicator Parts List'!$D$2="US$",_xlfn.XLOOKUP(CurrencyModifier!A2352,Prices!A:A,Prices!E:E,"MISSING")))</f>
        <v>#N/A</v>
      </c>
    </row>
    <row r="2353" spans="1:2">
      <c r="A2353">
        <f>Prices!A2359</f>
        <v>0</v>
      </c>
      <c r="B2353" s="470" t="e">
        <f>IF('Flow Indicator Parts List'!$D$2="CDN$",_xlfn.XLOOKUP(A2353,Prices!A:A,Prices!D:D),IF('Flow Indicator Parts List'!$D$2="US$",_xlfn.XLOOKUP(CurrencyModifier!A2353,Prices!A:A,Prices!E:E,"MISSING")))</f>
        <v>#N/A</v>
      </c>
    </row>
    <row r="2354" spans="1:2">
      <c r="A2354">
        <f>Prices!A2360</f>
        <v>0</v>
      </c>
      <c r="B2354" s="470" t="e">
        <f>IF('Flow Indicator Parts List'!$D$2="CDN$",_xlfn.XLOOKUP(A2354,Prices!A:A,Prices!D:D),IF('Flow Indicator Parts List'!$D$2="US$",_xlfn.XLOOKUP(CurrencyModifier!A2354,Prices!A:A,Prices!E:E,"MISSING")))</f>
        <v>#N/A</v>
      </c>
    </row>
    <row r="2355" spans="1:2">
      <c r="A2355">
        <f>Prices!A2361</f>
        <v>0</v>
      </c>
      <c r="B2355" s="470" t="e">
        <f>IF('Flow Indicator Parts List'!$D$2="CDN$",_xlfn.XLOOKUP(A2355,Prices!A:A,Prices!D:D),IF('Flow Indicator Parts List'!$D$2="US$",_xlfn.XLOOKUP(CurrencyModifier!A2355,Prices!A:A,Prices!E:E,"MISSING")))</f>
        <v>#N/A</v>
      </c>
    </row>
    <row r="2356" spans="1:2">
      <c r="A2356">
        <f>Prices!A2362</f>
        <v>0</v>
      </c>
      <c r="B2356" s="470" t="e">
        <f>IF('Flow Indicator Parts List'!$D$2="CDN$",_xlfn.XLOOKUP(A2356,Prices!A:A,Prices!D:D),IF('Flow Indicator Parts List'!$D$2="US$",_xlfn.XLOOKUP(CurrencyModifier!A2356,Prices!A:A,Prices!E:E,"MISSING")))</f>
        <v>#N/A</v>
      </c>
    </row>
    <row r="2357" spans="1:2">
      <c r="A2357">
        <f>Prices!A2363</f>
        <v>0</v>
      </c>
      <c r="B2357" s="470" t="e">
        <f>IF('Flow Indicator Parts List'!$D$2="CDN$",_xlfn.XLOOKUP(A2357,Prices!A:A,Prices!D:D),IF('Flow Indicator Parts List'!$D$2="US$",_xlfn.XLOOKUP(CurrencyModifier!A2357,Prices!A:A,Prices!E:E,"MISSING")))</f>
        <v>#N/A</v>
      </c>
    </row>
    <row r="2358" spans="1:2">
      <c r="A2358">
        <f>Prices!A2364</f>
        <v>0</v>
      </c>
      <c r="B2358" s="470" t="e">
        <f>IF('Flow Indicator Parts List'!$D$2="CDN$",_xlfn.XLOOKUP(A2358,Prices!A:A,Prices!D:D),IF('Flow Indicator Parts List'!$D$2="US$",_xlfn.XLOOKUP(CurrencyModifier!A2358,Prices!A:A,Prices!E:E,"MISSING")))</f>
        <v>#N/A</v>
      </c>
    </row>
    <row r="2359" spans="1:2">
      <c r="A2359">
        <f>Prices!A2365</f>
        <v>0</v>
      </c>
      <c r="B2359" s="470" t="e">
        <f>IF('Flow Indicator Parts List'!$D$2="CDN$",_xlfn.XLOOKUP(A2359,Prices!A:A,Prices!D:D),IF('Flow Indicator Parts List'!$D$2="US$",_xlfn.XLOOKUP(CurrencyModifier!A2359,Prices!A:A,Prices!E:E,"MISSING")))</f>
        <v>#N/A</v>
      </c>
    </row>
    <row r="2360" spans="1:2">
      <c r="A2360">
        <f>Prices!A2366</f>
        <v>0</v>
      </c>
      <c r="B2360" s="470" t="e">
        <f>IF('Flow Indicator Parts List'!$D$2="CDN$",_xlfn.XLOOKUP(A2360,Prices!A:A,Prices!D:D),IF('Flow Indicator Parts List'!$D$2="US$",_xlfn.XLOOKUP(CurrencyModifier!A2360,Prices!A:A,Prices!E:E,"MISSING")))</f>
        <v>#N/A</v>
      </c>
    </row>
    <row r="2361" spans="1:2">
      <c r="A2361">
        <f>Prices!A2367</f>
        <v>0</v>
      </c>
      <c r="B2361" s="470" t="e">
        <f>IF('Flow Indicator Parts List'!$D$2="CDN$",_xlfn.XLOOKUP(A2361,Prices!A:A,Prices!D:D),IF('Flow Indicator Parts List'!$D$2="US$",_xlfn.XLOOKUP(CurrencyModifier!A2361,Prices!A:A,Prices!E:E,"MISSING")))</f>
        <v>#N/A</v>
      </c>
    </row>
    <row r="2362" spans="1:2">
      <c r="A2362">
        <f>Prices!A2368</f>
        <v>0</v>
      </c>
      <c r="B2362" s="470" t="e">
        <f>IF('Flow Indicator Parts List'!$D$2="CDN$",_xlfn.XLOOKUP(A2362,Prices!A:A,Prices!D:D),IF('Flow Indicator Parts List'!$D$2="US$",_xlfn.XLOOKUP(CurrencyModifier!A2362,Prices!A:A,Prices!E:E,"MISSING")))</f>
        <v>#N/A</v>
      </c>
    </row>
    <row r="2363" spans="1:2">
      <c r="A2363">
        <f>Prices!A2369</f>
        <v>0</v>
      </c>
      <c r="B2363" s="470" t="e">
        <f>IF('Flow Indicator Parts List'!$D$2="CDN$",_xlfn.XLOOKUP(A2363,Prices!A:A,Prices!D:D),IF('Flow Indicator Parts List'!$D$2="US$",_xlfn.XLOOKUP(CurrencyModifier!A2363,Prices!A:A,Prices!E:E,"MISSING")))</f>
        <v>#N/A</v>
      </c>
    </row>
    <row r="2364" spans="1:2">
      <c r="A2364">
        <f>Prices!A2370</f>
        <v>0</v>
      </c>
      <c r="B2364" s="470" t="e">
        <f>IF('Flow Indicator Parts List'!$D$2="CDN$",_xlfn.XLOOKUP(A2364,Prices!A:A,Prices!D:D),IF('Flow Indicator Parts List'!$D$2="US$",_xlfn.XLOOKUP(CurrencyModifier!A2364,Prices!A:A,Prices!E:E,"MISSING")))</f>
        <v>#N/A</v>
      </c>
    </row>
    <row r="2365" spans="1:2">
      <c r="A2365">
        <f>Prices!A2371</f>
        <v>0</v>
      </c>
      <c r="B2365" s="470" t="e">
        <f>IF('Flow Indicator Parts List'!$D$2="CDN$",_xlfn.XLOOKUP(A2365,Prices!A:A,Prices!D:D),IF('Flow Indicator Parts List'!$D$2="US$",_xlfn.XLOOKUP(CurrencyModifier!A2365,Prices!A:A,Prices!E:E,"MISSING")))</f>
        <v>#N/A</v>
      </c>
    </row>
    <row r="2366" spans="1:2">
      <c r="A2366">
        <f>Prices!A2372</f>
        <v>0</v>
      </c>
      <c r="B2366" s="470" t="e">
        <f>IF('Flow Indicator Parts List'!$D$2="CDN$",_xlfn.XLOOKUP(A2366,Prices!A:A,Prices!D:D),IF('Flow Indicator Parts List'!$D$2="US$",_xlfn.XLOOKUP(CurrencyModifier!A2366,Prices!A:A,Prices!E:E,"MISSING")))</f>
        <v>#N/A</v>
      </c>
    </row>
    <row r="2367" spans="1:2">
      <c r="A2367">
        <f>Prices!A2373</f>
        <v>0</v>
      </c>
      <c r="B2367" s="470" t="e">
        <f>IF('Flow Indicator Parts List'!$D$2="CDN$",_xlfn.XLOOKUP(A2367,Prices!A:A,Prices!D:D),IF('Flow Indicator Parts List'!$D$2="US$",_xlfn.XLOOKUP(CurrencyModifier!A2367,Prices!A:A,Prices!E:E,"MISSING")))</f>
        <v>#N/A</v>
      </c>
    </row>
    <row r="2368" spans="1:2">
      <c r="A2368">
        <f>Prices!A2374</f>
        <v>0</v>
      </c>
      <c r="B2368" s="470" t="e">
        <f>IF('Flow Indicator Parts List'!$D$2="CDN$",_xlfn.XLOOKUP(A2368,Prices!A:A,Prices!D:D),IF('Flow Indicator Parts List'!$D$2="US$",_xlfn.XLOOKUP(CurrencyModifier!A2368,Prices!A:A,Prices!E:E,"MISSING")))</f>
        <v>#N/A</v>
      </c>
    </row>
    <row r="2369" spans="1:2">
      <c r="A2369">
        <f>Prices!A2375</f>
        <v>0</v>
      </c>
      <c r="B2369" s="470" t="e">
        <f>IF('Flow Indicator Parts List'!$D$2="CDN$",_xlfn.XLOOKUP(A2369,Prices!A:A,Prices!D:D),IF('Flow Indicator Parts List'!$D$2="US$",_xlfn.XLOOKUP(CurrencyModifier!A2369,Prices!A:A,Prices!E:E,"MISSING")))</f>
        <v>#N/A</v>
      </c>
    </row>
    <row r="2370" spans="1:2">
      <c r="A2370">
        <f>Prices!A2376</f>
        <v>0</v>
      </c>
      <c r="B2370" s="470" t="e">
        <f>IF('Flow Indicator Parts List'!$D$2="CDN$",_xlfn.XLOOKUP(A2370,Prices!A:A,Prices!D:D),IF('Flow Indicator Parts List'!$D$2="US$",_xlfn.XLOOKUP(CurrencyModifier!A2370,Prices!A:A,Prices!E:E,"MISSING")))</f>
        <v>#N/A</v>
      </c>
    </row>
    <row r="2371" spans="1:2">
      <c r="A2371">
        <f>Prices!A2377</f>
        <v>0</v>
      </c>
      <c r="B2371" s="470" t="e">
        <f>IF('Flow Indicator Parts List'!$D$2="CDN$",_xlfn.XLOOKUP(A2371,Prices!A:A,Prices!D:D),IF('Flow Indicator Parts List'!$D$2="US$",_xlfn.XLOOKUP(CurrencyModifier!A2371,Prices!A:A,Prices!E:E,"MISSING")))</f>
        <v>#N/A</v>
      </c>
    </row>
    <row r="2372" spans="1:2">
      <c r="A2372">
        <f>Prices!A2378</f>
        <v>0</v>
      </c>
      <c r="B2372" s="470" t="e">
        <f>IF('Flow Indicator Parts List'!$D$2="CDN$",_xlfn.XLOOKUP(A2372,Prices!A:A,Prices!D:D),IF('Flow Indicator Parts List'!$D$2="US$",_xlfn.XLOOKUP(CurrencyModifier!A2372,Prices!A:A,Prices!E:E,"MISSING")))</f>
        <v>#N/A</v>
      </c>
    </row>
    <row r="2373" spans="1:2">
      <c r="A2373">
        <f>Prices!A2379</f>
        <v>0</v>
      </c>
      <c r="B2373" s="470" t="e">
        <f>IF('Flow Indicator Parts List'!$D$2="CDN$",_xlfn.XLOOKUP(A2373,Prices!A:A,Prices!D:D),IF('Flow Indicator Parts List'!$D$2="US$",_xlfn.XLOOKUP(CurrencyModifier!A2373,Prices!A:A,Prices!E:E,"MISSING")))</f>
        <v>#N/A</v>
      </c>
    </row>
    <row r="2374" spans="1:2">
      <c r="A2374">
        <f>Prices!A2380</f>
        <v>0</v>
      </c>
      <c r="B2374" s="470" t="e">
        <f>IF('Flow Indicator Parts List'!$D$2="CDN$",_xlfn.XLOOKUP(A2374,Prices!A:A,Prices!D:D),IF('Flow Indicator Parts List'!$D$2="US$",_xlfn.XLOOKUP(CurrencyModifier!A2374,Prices!A:A,Prices!E:E,"MISSING")))</f>
        <v>#N/A</v>
      </c>
    </row>
    <row r="2375" spans="1:2">
      <c r="A2375">
        <f>Prices!A2381</f>
        <v>0</v>
      </c>
      <c r="B2375" s="470" t="e">
        <f>IF('Flow Indicator Parts List'!$D$2="CDN$",_xlfn.XLOOKUP(A2375,Prices!A:A,Prices!D:D),IF('Flow Indicator Parts List'!$D$2="US$",_xlfn.XLOOKUP(CurrencyModifier!A2375,Prices!A:A,Prices!E:E,"MISSING")))</f>
        <v>#N/A</v>
      </c>
    </row>
    <row r="2376" spans="1:2">
      <c r="A2376">
        <f>Prices!A2382</f>
        <v>0</v>
      </c>
      <c r="B2376" s="470" t="e">
        <f>IF('Flow Indicator Parts List'!$D$2="CDN$",_xlfn.XLOOKUP(A2376,Prices!A:A,Prices!D:D),IF('Flow Indicator Parts List'!$D$2="US$",_xlfn.XLOOKUP(CurrencyModifier!A2376,Prices!A:A,Prices!E:E,"MISSING")))</f>
        <v>#N/A</v>
      </c>
    </row>
    <row r="2377" spans="1:2">
      <c r="A2377">
        <f>Prices!A2383</f>
        <v>0</v>
      </c>
      <c r="B2377" s="470" t="e">
        <f>IF('Flow Indicator Parts List'!$D$2="CDN$",_xlfn.XLOOKUP(A2377,Prices!A:A,Prices!D:D),IF('Flow Indicator Parts List'!$D$2="US$",_xlfn.XLOOKUP(CurrencyModifier!A2377,Prices!A:A,Prices!E:E,"MISSING")))</f>
        <v>#N/A</v>
      </c>
    </row>
    <row r="2378" spans="1:2">
      <c r="A2378">
        <f>Prices!A2384</f>
        <v>0</v>
      </c>
      <c r="B2378" s="470" t="e">
        <f>IF('Flow Indicator Parts List'!$D$2="CDN$",_xlfn.XLOOKUP(A2378,Prices!A:A,Prices!D:D),IF('Flow Indicator Parts List'!$D$2="US$",_xlfn.XLOOKUP(CurrencyModifier!A2378,Prices!A:A,Prices!E:E,"MISSING")))</f>
        <v>#N/A</v>
      </c>
    </row>
    <row r="2379" spans="1:2">
      <c r="A2379">
        <f>Prices!A2385</f>
        <v>0</v>
      </c>
      <c r="B2379" s="470" t="e">
        <f>IF('Flow Indicator Parts List'!$D$2="CDN$",_xlfn.XLOOKUP(A2379,Prices!A:A,Prices!D:D),IF('Flow Indicator Parts List'!$D$2="US$",_xlfn.XLOOKUP(CurrencyModifier!A2379,Prices!A:A,Prices!E:E,"MISSING")))</f>
        <v>#N/A</v>
      </c>
    </row>
    <row r="2380" spans="1:2">
      <c r="A2380">
        <f>Prices!A2386</f>
        <v>0</v>
      </c>
      <c r="B2380" s="470" t="e">
        <f>IF('Flow Indicator Parts List'!$D$2="CDN$",_xlfn.XLOOKUP(A2380,Prices!A:A,Prices!D:D),IF('Flow Indicator Parts List'!$D$2="US$",_xlfn.XLOOKUP(CurrencyModifier!A2380,Prices!A:A,Prices!E:E,"MISSING")))</f>
        <v>#N/A</v>
      </c>
    </row>
    <row r="2381" spans="1:2">
      <c r="A2381">
        <f>Prices!A2387</f>
        <v>0</v>
      </c>
      <c r="B2381" s="470" t="e">
        <f>IF('Flow Indicator Parts List'!$D$2="CDN$",_xlfn.XLOOKUP(A2381,Prices!A:A,Prices!D:D),IF('Flow Indicator Parts List'!$D$2="US$",_xlfn.XLOOKUP(CurrencyModifier!A2381,Prices!A:A,Prices!E:E,"MISSING")))</f>
        <v>#N/A</v>
      </c>
    </row>
    <row r="2382" spans="1:2">
      <c r="A2382">
        <f>Prices!A2388</f>
        <v>0</v>
      </c>
      <c r="B2382" s="470" t="e">
        <f>IF('Flow Indicator Parts List'!$D$2="CDN$",_xlfn.XLOOKUP(A2382,Prices!A:A,Prices!D:D),IF('Flow Indicator Parts List'!$D$2="US$",_xlfn.XLOOKUP(CurrencyModifier!A2382,Prices!A:A,Prices!E:E,"MISSING")))</f>
        <v>#N/A</v>
      </c>
    </row>
    <row r="2383" spans="1:2">
      <c r="A2383">
        <f>Prices!A2389</f>
        <v>0</v>
      </c>
      <c r="B2383" s="470" t="e">
        <f>IF('Flow Indicator Parts List'!$D$2="CDN$",_xlfn.XLOOKUP(A2383,Prices!A:A,Prices!D:D),IF('Flow Indicator Parts List'!$D$2="US$",_xlfn.XLOOKUP(CurrencyModifier!A2383,Prices!A:A,Prices!E:E,"MISSING")))</f>
        <v>#N/A</v>
      </c>
    </row>
    <row r="2384" spans="1:2">
      <c r="A2384">
        <f>Prices!A2390</f>
        <v>0</v>
      </c>
      <c r="B2384" s="470" t="e">
        <f>IF('Flow Indicator Parts List'!$D$2="CDN$",_xlfn.XLOOKUP(A2384,Prices!A:A,Prices!D:D),IF('Flow Indicator Parts List'!$D$2="US$",_xlfn.XLOOKUP(CurrencyModifier!A2384,Prices!A:A,Prices!E:E,"MISSING")))</f>
        <v>#N/A</v>
      </c>
    </row>
    <row r="2385" spans="1:2">
      <c r="A2385">
        <f>Prices!A2391</f>
        <v>0</v>
      </c>
      <c r="B2385" s="470" t="e">
        <f>IF('Flow Indicator Parts List'!$D$2="CDN$",_xlfn.XLOOKUP(A2385,Prices!A:A,Prices!D:D),IF('Flow Indicator Parts List'!$D$2="US$",_xlfn.XLOOKUP(CurrencyModifier!A2385,Prices!A:A,Prices!E:E,"MISSING")))</f>
        <v>#N/A</v>
      </c>
    </row>
    <row r="2386" spans="1:2">
      <c r="A2386">
        <f>Prices!A2392</f>
        <v>0</v>
      </c>
      <c r="B2386" s="470" t="e">
        <f>IF('Flow Indicator Parts List'!$D$2="CDN$",_xlfn.XLOOKUP(A2386,Prices!A:A,Prices!D:D),IF('Flow Indicator Parts List'!$D$2="US$",_xlfn.XLOOKUP(CurrencyModifier!A2386,Prices!A:A,Prices!E:E,"MISSING")))</f>
        <v>#N/A</v>
      </c>
    </row>
    <row r="2387" spans="1:2">
      <c r="A2387">
        <f>Prices!A2393</f>
        <v>0</v>
      </c>
      <c r="B2387" s="470" t="e">
        <f>IF('Flow Indicator Parts List'!$D$2="CDN$",_xlfn.XLOOKUP(A2387,Prices!A:A,Prices!D:D),IF('Flow Indicator Parts List'!$D$2="US$",_xlfn.XLOOKUP(CurrencyModifier!A2387,Prices!A:A,Prices!E:E,"MISSING")))</f>
        <v>#N/A</v>
      </c>
    </row>
    <row r="2388" spans="1:2">
      <c r="A2388">
        <f>Prices!A2394</f>
        <v>0</v>
      </c>
      <c r="B2388" s="470" t="e">
        <f>IF('Flow Indicator Parts List'!$D$2="CDN$",_xlfn.XLOOKUP(A2388,Prices!A:A,Prices!D:D),IF('Flow Indicator Parts List'!$D$2="US$",_xlfn.XLOOKUP(CurrencyModifier!A2388,Prices!A:A,Prices!E:E,"MISSING")))</f>
        <v>#N/A</v>
      </c>
    </row>
    <row r="2389" spans="1:2">
      <c r="A2389">
        <f>Prices!A2395</f>
        <v>0</v>
      </c>
      <c r="B2389" s="470" t="e">
        <f>IF('Flow Indicator Parts List'!$D$2="CDN$",_xlfn.XLOOKUP(A2389,Prices!A:A,Prices!D:D),IF('Flow Indicator Parts List'!$D$2="US$",_xlfn.XLOOKUP(CurrencyModifier!A2389,Prices!A:A,Prices!E:E,"MISSING")))</f>
        <v>#N/A</v>
      </c>
    </row>
    <row r="2390" spans="1:2">
      <c r="A2390">
        <f>Prices!A2396</f>
        <v>0</v>
      </c>
      <c r="B2390" s="470" t="e">
        <f>IF('Flow Indicator Parts List'!$D$2="CDN$",_xlfn.XLOOKUP(A2390,Prices!A:A,Prices!D:D),IF('Flow Indicator Parts List'!$D$2="US$",_xlfn.XLOOKUP(CurrencyModifier!A2390,Prices!A:A,Prices!E:E,"MISSING")))</f>
        <v>#N/A</v>
      </c>
    </row>
    <row r="2391" spans="1:2">
      <c r="A2391">
        <f>Prices!A2397</f>
        <v>0</v>
      </c>
      <c r="B2391" s="470" t="e">
        <f>IF('Flow Indicator Parts List'!$D$2="CDN$",_xlfn.XLOOKUP(A2391,Prices!A:A,Prices!D:D),IF('Flow Indicator Parts List'!$D$2="US$",_xlfn.XLOOKUP(CurrencyModifier!A2391,Prices!A:A,Prices!E:E,"MISSING")))</f>
        <v>#N/A</v>
      </c>
    </row>
    <row r="2392" spans="1:2">
      <c r="A2392">
        <f>Prices!A2398</f>
        <v>0</v>
      </c>
      <c r="B2392" s="470" t="e">
        <f>IF('Flow Indicator Parts List'!$D$2="CDN$",_xlfn.XLOOKUP(A2392,Prices!A:A,Prices!D:D),IF('Flow Indicator Parts List'!$D$2="US$",_xlfn.XLOOKUP(CurrencyModifier!A2392,Prices!A:A,Prices!E:E,"MISSING")))</f>
        <v>#N/A</v>
      </c>
    </row>
    <row r="2393" spans="1:2">
      <c r="A2393">
        <f>Prices!A2399</f>
        <v>0</v>
      </c>
      <c r="B2393" s="470" t="e">
        <f>IF('Flow Indicator Parts List'!$D$2="CDN$",_xlfn.XLOOKUP(A2393,Prices!A:A,Prices!D:D),IF('Flow Indicator Parts List'!$D$2="US$",_xlfn.XLOOKUP(CurrencyModifier!A2393,Prices!A:A,Prices!E:E,"MISSING")))</f>
        <v>#N/A</v>
      </c>
    </row>
    <row r="2394" spans="1:2">
      <c r="A2394">
        <f>Prices!A2400</f>
        <v>0</v>
      </c>
      <c r="B2394" s="470" t="e">
        <f>IF('Flow Indicator Parts List'!$D$2="CDN$",_xlfn.XLOOKUP(A2394,Prices!A:A,Prices!D:D),IF('Flow Indicator Parts List'!$D$2="US$",_xlfn.XLOOKUP(CurrencyModifier!A2394,Prices!A:A,Prices!E:E,"MISSING")))</f>
        <v>#N/A</v>
      </c>
    </row>
    <row r="2395" spans="1:2">
      <c r="A2395">
        <f>Prices!A2401</f>
        <v>0</v>
      </c>
      <c r="B2395" s="470" t="e">
        <f>IF('Flow Indicator Parts List'!$D$2="CDN$",_xlfn.XLOOKUP(A2395,Prices!A:A,Prices!D:D),IF('Flow Indicator Parts List'!$D$2="US$",_xlfn.XLOOKUP(CurrencyModifier!A2395,Prices!A:A,Prices!E:E,"MISSING")))</f>
        <v>#N/A</v>
      </c>
    </row>
    <row r="2396" spans="1:2">
      <c r="A2396">
        <f>Prices!A2402</f>
        <v>0</v>
      </c>
      <c r="B2396" s="470" t="e">
        <f>IF('Flow Indicator Parts List'!$D$2="CDN$",_xlfn.XLOOKUP(A2396,Prices!A:A,Prices!D:D),IF('Flow Indicator Parts List'!$D$2="US$",_xlfn.XLOOKUP(CurrencyModifier!A2396,Prices!A:A,Prices!E:E,"MISSING")))</f>
        <v>#N/A</v>
      </c>
    </row>
    <row r="2397" spans="1:2">
      <c r="A2397">
        <f>Prices!A2403</f>
        <v>0</v>
      </c>
      <c r="B2397" s="470" t="e">
        <f>IF('Flow Indicator Parts List'!$D$2="CDN$",_xlfn.XLOOKUP(A2397,Prices!A:A,Prices!D:D),IF('Flow Indicator Parts List'!$D$2="US$",_xlfn.XLOOKUP(CurrencyModifier!A2397,Prices!A:A,Prices!E:E,"MISSING")))</f>
        <v>#N/A</v>
      </c>
    </row>
    <row r="2398" spans="1:2">
      <c r="A2398">
        <f>Prices!A2404</f>
        <v>0</v>
      </c>
      <c r="B2398" s="470" t="e">
        <f>IF('Flow Indicator Parts List'!$D$2="CDN$",_xlfn.XLOOKUP(A2398,Prices!A:A,Prices!D:D),IF('Flow Indicator Parts List'!$D$2="US$",_xlfn.XLOOKUP(CurrencyModifier!A2398,Prices!A:A,Prices!E:E,"MISSING")))</f>
        <v>#N/A</v>
      </c>
    </row>
    <row r="2399" spans="1:2">
      <c r="A2399">
        <f>Prices!A2405</f>
        <v>0</v>
      </c>
      <c r="B2399" s="470" t="e">
        <f>IF('Flow Indicator Parts List'!$D$2="CDN$",_xlfn.XLOOKUP(A2399,Prices!A:A,Prices!D:D),IF('Flow Indicator Parts List'!$D$2="US$",_xlfn.XLOOKUP(CurrencyModifier!A2399,Prices!A:A,Prices!E:E,"MISSING")))</f>
        <v>#N/A</v>
      </c>
    </row>
    <row r="2400" spans="1:2">
      <c r="A2400">
        <f>Prices!A2406</f>
        <v>0</v>
      </c>
      <c r="B2400" s="470" t="e">
        <f>IF('Flow Indicator Parts List'!$D$2="CDN$",_xlfn.XLOOKUP(A2400,Prices!A:A,Prices!D:D),IF('Flow Indicator Parts List'!$D$2="US$",_xlfn.XLOOKUP(CurrencyModifier!A2400,Prices!A:A,Prices!E:E,"MISSING")))</f>
        <v>#N/A</v>
      </c>
    </row>
    <row r="2401" spans="1:2">
      <c r="A2401">
        <f>Prices!A2407</f>
        <v>0</v>
      </c>
      <c r="B2401" s="470" t="e">
        <f>IF('Flow Indicator Parts List'!$D$2="CDN$",_xlfn.XLOOKUP(A2401,Prices!A:A,Prices!D:D),IF('Flow Indicator Parts List'!$D$2="US$",_xlfn.XLOOKUP(CurrencyModifier!A2401,Prices!A:A,Prices!E:E,"MISSING")))</f>
        <v>#N/A</v>
      </c>
    </row>
    <row r="2402" spans="1:2">
      <c r="A2402">
        <f>Prices!A2408</f>
        <v>0</v>
      </c>
      <c r="B2402" s="470" t="e">
        <f>IF('Flow Indicator Parts List'!$D$2="CDN$",_xlfn.XLOOKUP(A2402,Prices!A:A,Prices!D:D),IF('Flow Indicator Parts List'!$D$2="US$",_xlfn.XLOOKUP(CurrencyModifier!A2402,Prices!A:A,Prices!E:E,"MISSING")))</f>
        <v>#N/A</v>
      </c>
    </row>
    <row r="2403" spans="1:2">
      <c r="A2403">
        <f>Prices!A2409</f>
        <v>0</v>
      </c>
      <c r="B2403" s="470" t="e">
        <f>IF('Flow Indicator Parts List'!$D$2="CDN$",_xlfn.XLOOKUP(A2403,Prices!A:A,Prices!D:D),IF('Flow Indicator Parts List'!$D$2="US$",_xlfn.XLOOKUP(CurrencyModifier!A2403,Prices!A:A,Prices!E:E,"MISSING")))</f>
        <v>#N/A</v>
      </c>
    </row>
    <row r="2404" spans="1:2">
      <c r="A2404">
        <f>Prices!A2410</f>
        <v>0</v>
      </c>
      <c r="B2404" s="470" t="e">
        <f>IF('Flow Indicator Parts List'!$D$2="CDN$",_xlfn.XLOOKUP(A2404,Prices!A:A,Prices!D:D),IF('Flow Indicator Parts List'!$D$2="US$",_xlfn.XLOOKUP(CurrencyModifier!A2404,Prices!A:A,Prices!E:E,"MISSING")))</f>
        <v>#N/A</v>
      </c>
    </row>
    <row r="2405" spans="1:2">
      <c r="A2405">
        <f>Prices!A2411</f>
        <v>0</v>
      </c>
      <c r="B2405" s="470" t="e">
        <f>IF('Flow Indicator Parts List'!$D$2="CDN$",_xlfn.XLOOKUP(A2405,Prices!A:A,Prices!D:D),IF('Flow Indicator Parts List'!$D$2="US$",_xlfn.XLOOKUP(CurrencyModifier!A2405,Prices!A:A,Prices!E:E,"MISSING")))</f>
        <v>#N/A</v>
      </c>
    </row>
    <row r="2406" spans="1:2">
      <c r="A2406">
        <f>Prices!A2412</f>
        <v>0</v>
      </c>
      <c r="B2406" s="470" t="e">
        <f>IF('Flow Indicator Parts List'!$D$2="CDN$",_xlfn.XLOOKUP(A2406,Prices!A:A,Prices!D:D),IF('Flow Indicator Parts List'!$D$2="US$",_xlfn.XLOOKUP(CurrencyModifier!A2406,Prices!A:A,Prices!E:E,"MISSING")))</f>
        <v>#N/A</v>
      </c>
    </row>
    <row r="2407" spans="1:2">
      <c r="A2407">
        <f>Prices!A2413</f>
        <v>0</v>
      </c>
      <c r="B2407" s="470" t="e">
        <f>IF('Flow Indicator Parts List'!$D$2="CDN$",_xlfn.XLOOKUP(A2407,Prices!A:A,Prices!D:D),IF('Flow Indicator Parts List'!$D$2="US$",_xlfn.XLOOKUP(CurrencyModifier!A2407,Prices!A:A,Prices!E:E,"MISSING")))</f>
        <v>#N/A</v>
      </c>
    </row>
    <row r="2408" spans="1:2">
      <c r="A2408">
        <f>Prices!A2414</f>
        <v>0</v>
      </c>
      <c r="B2408" s="470" t="e">
        <f>IF('Flow Indicator Parts List'!$D$2="CDN$",_xlfn.XLOOKUP(A2408,Prices!A:A,Prices!D:D),IF('Flow Indicator Parts List'!$D$2="US$",_xlfn.XLOOKUP(CurrencyModifier!A2408,Prices!A:A,Prices!E:E,"MISSING")))</f>
        <v>#N/A</v>
      </c>
    </row>
    <row r="2409" spans="1:2">
      <c r="A2409">
        <f>Prices!A2415</f>
        <v>0</v>
      </c>
      <c r="B2409" s="470" t="e">
        <f>IF('Flow Indicator Parts List'!$D$2="CDN$",_xlfn.XLOOKUP(A2409,Prices!A:A,Prices!D:D),IF('Flow Indicator Parts List'!$D$2="US$",_xlfn.XLOOKUP(CurrencyModifier!A2409,Prices!A:A,Prices!E:E,"MISSING")))</f>
        <v>#N/A</v>
      </c>
    </row>
    <row r="2410" spans="1:2">
      <c r="A2410">
        <f>Prices!A2416</f>
        <v>0</v>
      </c>
      <c r="B2410" s="470" t="e">
        <f>IF('Flow Indicator Parts List'!$D$2="CDN$",_xlfn.XLOOKUP(A2410,Prices!A:A,Prices!D:D),IF('Flow Indicator Parts List'!$D$2="US$",_xlfn.XLOOKUP(CurrencyModifier!A2410,Prices!A:A,Prices!E:E,"MISSING")))</f>
        <v>#N/A</v>
      </c>
    </row>
    <row r="2411" spans="1:2">
      <c r="A2411">
        <f>Prices!A2417</f>
        <v>0</v>
      </c>
      <c r="B2411" s="470" t="e">
        <f>IF('Flow Indicator Parts List'!$D$2="CDN$",_xlfn.XLOOKUP(A2411,Prices!A:A,Prices!D:D),IF('Flow Indicator Parts List'!$D$2="US$",_xlfn.XLOOKUP(CurrencyModifier!A2411,Prices!A:A,Prices!E:E,"MISSING")))</f>
        <v>#N/A</v>
      </c>
    </row>
    <row r="2412" spans="1:2">
      <c r="A2412">
        <f>Prices!A2418</f>
        <v>0</v>
      </c>
      <c r="B2412" s="470" t="e">
        <f>IF('Flow Indicator Parts List'!$D$2="CDN$",_xlfn.XLOOKUP(A2412,Prices!A:A,Prices!D:D),IF('Flow Indicator Parts List'!$D$2="US$",_xlfn.XLOOKUP(CurrencyModifier!A2412,Prices!A:A,Prices!E:E,"MISSING")))</f>
        <v>#N/A</v>
      </c>
    </row>
    <row r="2413" spans="1:2">
      <c r="A2413">
        <f>Prices!A2419</f>
        <v>0</v>
      </c>
      <c r="B2413" s="470" t="e">
        <f>IF('Flow Indicator Parts List'!$D$2="CDN$",_xlfn.XLOOKUP(A2413,Prices!A:A,Prices!D:D),IF('Flow Indicator Parts List'!$D$2="US$",_xlfn.XLOOKUP(CurrencyModifier!A2413,Prices!A:A,Prices!E:E,"MISSING")))</f>
        <v>#N/A</v>
      </c>
    </row>
    <row r="2414" spans="1:2">
      <c r="A2414">
        <f>Prices!A2420</f>
        <v>0</v>
      </c>
      <c r="B2414" s="470" t="e">
        <f>IF('Flow Indicator Parts List'!$D$2="CDN$",_xlfn.XLOOKUP(A2414,Prices!A:A,Prices!D:D),IF('Flow Indicator Parts List'!$D$2="US$",_xlfn.XLOOKUP(CurrencyModifier!A2414,Prices!A:A,Prices!E:E,"MISSING")))</f>
        <v>#N/A</v>
      </c>
    </row>
    <row r="2415" spans="1:2">
      <c r="A2415">
        <f>Prices!A2421</f>
        <v>0</v>
      </c>
      <c r="B2415" s="470" t="e">
        <f>IF('Flow Indicator Parts List'!$D$2="CDN$",_xlfn.XLOOKUP(A2415,Prices!A:A,Prices!D:D),IF('Flow Indicator Parts List'!$D$2="US$",_xlfn.XLOOKUP(CurrencyModifier!A2415,Prices!A:A,Prices!E:E,"MISSING")))</f>
        <v>#N/A</v>
      </c>
    </row>
    <row r="2416" spans="1:2">
      <c r="A2416">
        <f>Prices!A2422</f>
        <v>0</v>
      </c>
      <c r="B2416" s="470" t="e">
        <f>IF('Flow Indicator Parts List'!$D$2="CDN$",_xlfn.XLOOKUP(A2416,Prices!A:A,Prices!D:D),IF('Flow Indicator Parts List'!$D$2="US$",_xlfn.XLOOKUP(CurrencyModifier!A2416,Prices!A:A,Prices!E:E,"MISSING")))</f>
        <v>#N/A</v>
      </c>
    </row>
    <row r="2417" spans="1:2">
      <c r="A2417">
        <f>Prices!A2423</f>
        <v>0</v>
      </c>
      <c r="B2417" s="470" t="e">
        <f>IF('Flow Indicator Parts List'!$D$2="CDN$",_xlfn.XLOOKUP(A2417,Prices!A:A,Prices!D:D),IF('Flow Indicator Parts List'!$D$2="US$",_xlfn.XLOOKUP(CurrencyModifier!A2417,Prices!A:A,Prices!E:E,"MISSING")))</f>
        <v>#N/A</v>
      </c>
    </row>
    <row r="2418" spans="1:2">
      <c r="A2418">
        <f>Prices!A2424</f>
        <v>0</v>
      </c>
      <c r="B2418" s="470" t="e">
        <f>IF('Flow Indicator Parts List'!$D$2="CDN$",_xlfn.XLOOKUP(A2418,Prices!A:A,Prices!D:D),IF('Flow Indicator Parts List'!$D$2="US$",_xlfn.XLOOKUP(CurrencyModifier!A2418,Prices!A:A,Prices!E:E,"MISSING")))</f>
        <v>#N/A</v>
      </c>
    </row>
    <row r="2419" spans="1:2">
      <c r="A2419">
        <f>Prices!A2425</f>
        <v>0</v>
      </c>
      <c r="B2419" s="470" t="e">
        <f>IF('Flow Indicator Parts List'!$D$2="CDN$",_xlfn.XLOOKUP(A2419,Prices!A:A,Prices!D:D),IF('Flow Indicator Parts List'!$D$2="US$",_xlfn.XLOOKUP(CurrencyModifier!A2419,Prices!A:A,Prices!E:E,"MISSING")))</f>
        <v>#N/A</v>
      </c>
    </row>
    <row r="2420" spans="1:2">
      <c r="A2420">
        <f>Prices!A2426</f>
        <v>0</v>
      </c>
      <c r="B2420" s="470" t="e">
        <f>IF('Flow Indicator Parts List'!$D$2="CDN$",_xlfn.XLOOKUP(A2420,Prices!A:A,Prices!D:D),IF('Flow Indicator Parts List'!$D$2="US$",_xlfn.XLOOKUP(CurrencyModifier!A2420,Prices!A:A,Prices!E:E,"MISSING")))</f>
        <v>#N/A</v>
      </c>
    </row>
    <row r="2421" spans="1:2">
      <c r="A2421">
        <f>Prices!A2427</f>
        <v>0</v>
      </c>
      <c r="B2421" s="470" t="e">
        <f>IF('Flow Indicator Parts List'!$D$2="CDN$",_xlfn.XLOOKUP(A2421,Prices!A:A,Prices!D:D),IF('Flow Indicator Parts List'!$D$2="US$",_xlfn.XLOOKUP(CurrencyModifier!A2421,Prices!A:A,Prices!E:E,"MISSING")))</f>
        <v>#N/A</v>
      </c>
    </row>
    <row r="2422" spans="1:2">
      <c r="A2422">
        <f>Prices!A2428</f>
        <v>0</v>
      </c>
      <c r="B2422" s="470" t="e">
        <f>IF('Flow Indicator Parts List'!$D$2="CDN$",_xlfn.XLOOKUP(A2422,Prices!A:A,Prices!D:D),IF('Flow Indicator Parts List'!$D$2="US$",_xlfn.XLOOKUP(CurrencyModifier!A2422,Prices!A:A,Prices!E:E,"MISSING")))</f>
        <v>#N/A</v>
      </c>
    </row>
    <row r="2423" spans="1:2">
      <c r="A2423">
        <f>Prices!A2429</f>
        <v>0</v>
      </c>
      <c r="B2423" s="470" t="e">
        <f>IF('Flow Indicator Parts List'!$D$2="CDN$",_xlfn.XLOOKUP(A2423,Prices!A:A,Prices!D:D),IF('Flow Indicator Parts List'!$D$2="US$",_xlfn.XLOOKUP(CurrencyModifier!A2423,Prices!A:A,Prices!E:E,"MISSING")))</f>
        <v>#N/A</v>
      </c>
    </row>
    <row r="2424" spans="1:2">
      <c r="A2424">
        <f>Prices!A2430</f>
        <v>0</v>
      </c>
      <c r="B2424" s="470" t="e">
        <f>IF('Flow Indicator Parts List'!$D$2="CDN$",_xlfn.XLOOKUP(A2424,Prices!A:A,Prices!D:D),IF('Flow Indicator Parts List'!$D$2="US$",_xlfn.XLOOKUP(CurrencyModifier!A2424,Prices!A:A,Prices!E:E,"MISSING")))</f>
        <v>#N/A</v>
      </c>
    </row>
    <row r="2425" spans="1:2">
      <c r="A2425">
        <f>Prices!A2431</f>
        <v>0</v>
      </c>
      <c r="B2425" s="470" t="e">
        <f>IF('Flow Indicator Parts List'!$D$2="CDN$",_xlfn.XLOOKUP(A2425,Prices!A:A,Prices!D:D),IF('Flow Indicator Parts List'!$D$2="US$",_xlfn.XLOOKUP(CurrencyModifier!A2425,Prices!A:A,Prices!E:E,"MISSING")))</f>
        <v>#N/A</v>
      </c>
    </row>
    <row r="2426" spans="1:2">
      <c r="A2426">
        <f>Prices!A2432</f>
        <v>0</v>
      </c>
      <c r="B2426" s="470" t="e">
        <f>IF('Flow Indicator Parts List'!$D$2="CDN$",_xlfn.XLOOKUP(A2426,Prices!A:A,Prices!D:D),IF('Flow Indicator Parts List'!$D$2="US$",_xlfn.XLOOKUP(CurrencyModifier!A2426,Prices!A:A,Prices!E:E,"MISSING")))</f>
        <v>#N/A</v>
      </c>
    </row>
    <row r="2427" spans="1:2">
      <c r="A2427">
        <f>Prices!A2433</f>
        <v>0</v>
      </c>
      <c r="B2427" s="470" t="e">
        <f>IF('Flow Indicator Parts List'!$D$2="CDN$",_xlfn.XLOOKUP(A2427,Prices!A:A,Prices!D:D),IF('Flow Indicator Parts List'!$D$2="US$",_xlfn.XLOOKUP(CurrencyModifier!A2427,Prices!A:A,Prices!E:E,"MISSING")))</f>
        <v>#N/A</v>
      </c>
    </row>
    <row r="2428" spans="1:2">
      <c r="A2428">
        <f>Prices!A2434</f>
        <v>0</v>
      </c>
      <c r="B2428" s="470" t="e">
        <f>IF('Flow Indicator Parts List'!$D$2="CDN$",_xlfn.XLOOKUP(A2428,Prices!A:A,Prices!D:D),IF('Flow Indicator Parts List'!$D$2="US$",_xlfn.XLOOKUP(CurrencyModifier!A2428,Prices!A:A,Prices!E:E,"MISSING")))</f>
        <v>#N/A</v>
      </c>
    </row>
    <row r="2429" spans="1:2">
      <c r="A2429">
        <f>Prices!A2435</f>
        <v>0</v>
      </c>
      <c r="B2429" s="470" t="e">
        <f>IF('Flow Indicator Parts List'!$D$2="CDN$",_xlfn.XLOOKUP(A2429,Prices!A:A,Prices!D:D),IF('Flow Indicator Parts List'!$D$2="US$",_xlfn.XLOOKUP(CurrencyModifier!A2429,Prices!A:A,Prices!E:E,"MISSING")))</f>
        <v>#N/A</v>
      </c>
    </row>
    <row r="2430" spans="1:2">
      <c r="A2430">
        <f>Prices!A2436</f>
        <v>0</v>
      </c>
      <c r="B2430" s="470" t="e">
        <f>IF('Flow Indicator Parts List'!$D$2="CDN$",_xlfn.XLOOKUP(A2430,Prices!A:A,Prices!D:D),IF('Flow Indicator Parts List'!$D$2="US$",_xlfn.XLOOKUP(CurrencyModifier!A2430,Prices!A:A,Prices!E:E,"MISSING")))</f>
        <v>#N/A</v>
      </c>
    </row>
    <row r="2431" spans="1:2">
      <c r="A2431">
        <f>Prices!A2437</f>
        <v>0</v>
      </c>
      <c r="B2431" s="470" t="e">
        <f>IF('Flow Indicator Parts List'!$D$2="CDN$",_xlfn.XLOOKUP(A2431,Prices!A:A,Prices!D:D),IF('Flow Indicator Parts List'!$D$2="US$",_xlfn.XLOOKUP(CurrencyModifier!A2431,Prices!A:A,Prices!E:E,"MISSING")))</f>
        <v>#N/A</v>
      </c>
    </row>
    <row r="2432" spans="1:2">
      <c r="A2432">
        <f>Prices!A2438</f>
        <v>0</v>
      </c>
      <c r="B2432" s="470" t="e">
        <f>IF('Flow Indicator Parts List'!$D$2="CDN$",_xlfn.XLOOKUP(A2432,Prices!A:A,Prices!D:D),IF('Flow Indicator Parts List'!$D$2="US$",_xlfn.XLOOKUP(CurrencyModifier!A2432,Prices!A:A,Prices!E:E,"MISSING")))</f>
        <v>#N/A</v>
      </c>
    </row>
    <row r="2433" spans="1:2">
      <c r="A2433">
        <f>Prices!A2439</f>
        <v>0</v>
      </c>
      <c r="B2433" s="470" t="e">
        <f>IF('Flow Indicator Parts List'!$D$2="CDN$",_xlfn.XLOOKUP(A2433,Prices!A:A,Prices!D:D),IF('Flow Indicator Parts List'!$D$2="US$",_xlfn.XLOOKUP(CurrencyModifier!A2433,Prices!A:A,Prices!E:E,"MISSING")))</f>
        <v>#N/A</v>
      </c>
    </row>
    <row r="2434" spans="1:2">
      <c r="A2434">
        <f>Prices!A2440</f>
        <v>0</v>
      </c>
      <c r="B2434" s="470" t="e">
        <f>IF('Flow Indicator Parts List'!$D$2="CDN$",_xlfn.XLOOKUP(A2434,Prices!A:A,Prices!D:D),IF('Flow Indicator Parts List'!$D$2="US$",_xlfn.XLOOKUP(CurrencyModifier!A2434,Prices!A:A,Prices!E:E,"MISSING")))</f>
        <v>#N/A</v>
      </c>
    </row>
    <row r="2435" spans="1:2">
      <c r="A2435">
        <f>Prices!A2441</f>
        <v>0</v>
      </c>
      <c r="B2435" s="470" t="e">
        <f>IF('Flow Indicator Parts List'!$D$2="CDN$",_xlfn.XLOOKUP(A2435,Prices!A:A,Prices!D:D),IF('Flow Indicator Parts List'!$D$2="US$",_xlfn.XLOOKUP(CurrencyModifier!A2435,Prices!A:A,Prices!E:E,"MISSING")))</f>
        <v>#N/A</v>
      </c>
    </row>
    <row r="2436" spans="1:2">
      <c r="A2436">
        <f>Prices!A2442</f>
        <v>0</v>
      </c>
      <c r="B2436" s="470" t="e">
        <f>IF('Flow Indicator Parts List'!$D$2="CDN$",_xlfn.XLOOKUP(A2436,Prices!A:A,Prices!D:D),IF('Flow Indicator Parts List'!$D$2="US$",_xlfn.XLOOKUP(CurrencyModifier!A2436,Prices!A:A,Prices!E:E,"MISSING")))</f>
        <v>#N/A</v>
      </c>
    </row>
    <row r="2437" spans="1:2">
      <c r="A2437">
        <f>Prices!A2443</f>
        <v>0</v>
      </c>
      <c r="B2437" s="470" t="e">
        <f>IF('Flow Indicator Parts List'!$D$2="CDN$",_xlfn.XLOOKUP(A2437,Prices!A:A,Prices!D:D),IF('Flow Indicator Parts List'!$D$2="US$",_xlfn.XLOOKUP(CurrencyModifier!A2437,Prices!A:A,Prices!E:E,"MISSING")))</f>
        <v>#N/A</v>
      </c>
    </row>
    <row r="2438" spans="1:2">
      <c r="A2438">
        <f>Prices!A2444</f>
        <v>0</v>
      </c>
      <c r="B2438" s="470" t="e">
        <f>IF('Flow Indicator Parts List'!$D$2="CDN$",_xlfn.XLOOKUP(A2438,Prices!A:A,Prices!D:D),IF('Flow Indicator Parts List'!$D$2="US$",_xlfn.XLOOKUP(CurrencyModifier!A2438,Prices!A:A,Prices!E:E,"MISSING")))</f>
        <v>#N/A</v>
      </c>
    </row>
    <row r="2439" spans="1:2">
      <c r="A2439">
        <f>Prices!A2445</f>
        <v>0</v>
      </c>
      <c r="B2439" s="470" t="e">
        <f>IF('Flow Indicator Parts List'!$D$2="CDN$",_xlfn.XLOOKUP(A2439,Prices!A:A,Prices!D:D),IF('Flow Indicator Parts List'!$D$2="US$",_xlfn.XLOOKUP(CurrencyModifier!A2439,Prices!A:A,Prices!E:E,"MISSING")))</f>
        <v>#N/A</v>
      </c>
    </row>
    <row r="2440" spans="1:2">
      <c r="A2440">
        <f>Prices!A2446</f>
        <v>0</v>
      </c>
      <c r="B2440" s="470" t="e">
        <f>IF('Flow Indicator Parts List'!$D$2="CDN$",_xlfn.XLOOKUP(A2440,Prices!A:A,Prices!D:D),IF('Flow Indicator Parts List'!$D$2="US$",_xlfn.XLOOKUP(CurrencyModifier!A2440,Prices!A:A,Prices!E:E,"MISSING")))</f>
        <v>#N/A</v>
      </c>
    </row>
    <row r="2441" spans="1:2">
      <c r="A2441">
        <f>Prices!A2447</f>
        <v>0</v>
      </c>
      <c r="B2441" s="470" t="e">
        <f>IF('Flow Indicator Parts List'!$D$2="CDN$",_xlfn.XLOOKUP(A2441,Prices!A:A,Prices!D:D),IF('Flow Indicator Parts List'!$D$2="US$",_xlfn.XLOOKUP(CurrencyModifier!A2441,Prices!A:A,Prices!E:E,"MISSING")))</f>
        <v>#N/A</v>
      </c>
    </row>
    <row r="2442" spans="1:2">
      <c r="A2442">
        <f>Prices!A2448</f>
        <v>0</v>
      </c>
      <c r="B2442" s="470" t="e">
        <f>IF('Flow Indicator Parts List'!$D$2="CDN$",_xlfn.XLOOKUP(A2442,Prices!A:A,Prices!D:D),IF('Flow Indicator Parts List'!$D$2="US$",_xlfn.XLOOKUP(CurrencyModifier!A2442,Prices!A:A,Prices!E:E,"MISSING")))</f>
        <v>#N/A</v>
      </c>
    </row>
    <row r="2443" spans="1:2">
      <c r="A2443">
        <f>Prices!A2449</f>
        <v>0</v>
      </c>
      <c r="B2443" s="470" t="e">
        <f>IF('Flow Indicator Parts List'!$D$2="CDN$",_xlfn.XLOOKUP(A2443,Prices!A:A,Prices!D:D),IF('Flow Indicator Parts List'!$D$2="US$",_xlfn.XLOOKUP(CurrencyModifier!A2443,Prices!A:A,Prices!E:E,"MISSING")))</f>
        <v>#N/A</v>
      </c>
    </row>
    <row r="2444" spans="1:2">
      <c r="A2444">
        <f>Prices!A2450</f>
        <v>0</v>
      </c>
      <c r="B2444" s="470" t="e">
        <f>IF('Flow Indicator Parts List'!$D$2="CDN$",_xlfn.XLOOKUP(A2444,Prices!A:A,Prices!D:D),IF('Flow Indicator Parts List'!$D$2="US$",_xlfn.XLOOKUP(CurrencyModifier!A2444,Prices!A:A,Prices!E:E,"MISSING")))</f>
        <v>#N/A</v>
      </c>
    </row>
    <row r="2445" spans="1:2">
      <c r="A2445">
        <f>Prices!A2451</f>
        <v>0</v>
      </c>
      <c r="B2445" s="470" t="e">
        <f>IF('Flow Indicator Parts List'!$D$2="CDN$",_xlfn.XLOOKUP(A2445,Prices!A:A,Prices!D:D),IF('Flow Indicator Parts List'!$D$2="US$",_xlfn.XLOOKUP(CurrencyModifier!A2445,Prices!A:A,Prices!E:E,"MISSING")))</f>
        <v>#N/A</v>
      </c>
    </row>
    <row r="2446" spans="1:2">
      <c r="A2446">
        <f>Prices!A2452</f>
        <v>0</v>
      </c>
      <c r="B2446" s="470" t="e">
        <f>IF('Flow Indicator Parts List'!$D$2="CDN$",_xlfn.XLOOKUP(A2446,Prices!A:A,Prices!D:D),IF('Flow Indicator Parts List'!$D$2="US$",_xlfn.XLOOKUP(CurrencyModifier!A2446,Prices!A:A,Prices!E:E,"MISSING")))</f>
        <v>#N/A</v>
      </c>
    </row>
    <row r="2447" spans="1:2">
      <c r="A2447">
        <f>Prices!A2453</f>
        <v>0</v>
      </c>
      <c r="B2447" s="470" t="e">
        <f>IF('Flow Indicator Parts List'!$D$2="CDN$",_xlfn.XLOOKUP(A2447,Prices!A:A,Prices!D:D),IF('Flow Indicator Parts List'!$D$2="US$",_xlfn.XLOOKUP(CurrencyModifier!A2447,Prices!A:A,Prices!E:E,"MISSING")))</f>
        <v>#N/A</v>
      </c>
    </row>
    <row r="2448" spans="1:2">
      <c r="A2448">
        <f>Prices!A2454</f>
        <v>0</v>
      </c>
      <c r="B2448" s="470" t="e">
        <f>IF('Flow Indicator Parts List'!$D$2="CDN$",_xlfn.XLOOKUP(A2448,Prices!A:A,Prices!D:D),IF('Flow Indicator Parts List'!$D$2="US$",_xlfn.XLOOKUP(CurrencyModifier!A2448,Prices!A:A,Prices!E:E,"MISSING")))</f>
        <v>#N/A</v>
      </c>
    </row>
    <row r="2449" spans="1:2">
      <c r="A2449">
        <f>Prices!A2455</f>
        <v>0</v>
      </c>
      <c r="B2449" s="470" t="e">
        <f>IF('Flow Indicator Parts List'!$D$2="CDN$",_xlfn.XLOOKUP(A2449,Prices!A:A,Prices!D:D),IF('Flow Indicator Parts List'!$D$2="US$",_xlfn.XLOOKUP(CurrencyModifier!A2449,Prices!A:A,Prices!E:E,"MISSING")))</f>
        <v>#N/A</v>
      </c>
    </row>
    <row r="2450" spans="1:2">
      <c r="A2450">
        <f>Prices!A2456</f>
        <v>0</v>
      </c>
      <c r="B2450" s="470" t="e">
        <f>IF('Flow Indicator Parts List'!$D$2="CDN$",_xlfn.XLOOKUP(A2450,Prices!A:A,Prices!D:D),IF('Flow Indicator Parts List'!$D$2="US$",_xlfn.XLOOKUP(CurrencyModifier!A2450,Prices!A:A,Prices!E:E,"MISSING")))</f>
        <v>#N/A</v>
      </c>
    </row>
    <row r="2451" spans="1:2">
      <c r="A2451">
        <f>Prices!A2457</f>
        <v>0</v>
      </c>
      <c r="B2451" s="470" t="e">
        <f>IF('Flow Indicator Parts List'!$D$2="CDN$",_xlfn.XLOOKUP(A2451,Prices!A:A,Prices!D:D),IF('Flow Indicator Parts List'!$D$2="US$",_xlfn.XLOOKUP(CurrencyModifier!A2451,Prices!A:A,Prices!E:E,"MISSING")))</f>
        <v>#N/A</v>
      </c>
    </row>
    <row r="2452" spans="1:2">
      <c r="A2452">
        <f>Prices!A2458</f>
        <v>0</v>
      </c>
      <c r="B2452" s="470" t="e">
        <f>IF('Flow Indicator Parts List'!$D$2="CDN$",_xlfn.XLOOKUP(A2452,Prices!A:A,Prices!D:D),IF('Flow Indicator Parts List'!$D$2="US$",_xlfn.XLOOKUP(CurrencyModifier!A2452,Prices!A:A,Prices!E:E,"MISSING")))</f>
        <v>#N/A</v>
      </c>
    </row>
    <row r="2453" spans="1:2">
      <c r="A2453">
        <f>Prices!A2459</f>
        <v>0</v>
      </c>
      <c r="B2453" s="470" t="e">
        <f>IF('Flow Indicator Parts List'!$D$2="CDN$",_xlfn.XLOOKUP(A2453,Prices!A:A,Prices!D:D),IF('Flow Indicator Parts List'!$D$2="US$",_xlfn.XLOOKUP(CurrencyModifier!A2453,Prices!A:A,Prices!E:E,"MISSING")))</f>
        <v>#N/A</v>
      </c>
    </row>
    <row r="2454" spans="1:2">
      <c r="A2454">
        <f>Prices!A2460</f>
        <v>0</v>
      </c>
      <c r="B2454" s="470" t="e">
        <f>IF('Flow Indicator Parts List'!$D$2="CDN$",_xlfn.XLOOKUP(A2454,Prices!A:A,Prices!D:D),IF('Flow Indicator Parts List'!$D$2="US$",_xlfn.XLOOKUP(CurrencyModifier!A2454,Prices!A:A,Prices!E:E,"MISSING")))</f>
        <v>#N/A</v>
      </c>
    </row>
    <row r="2455" spans="1:2">
      <c r="A2455">
        <f>Prices!A2461</f>
        <v>0</v>
      </c>
      <c r="B2455" s="470" t="e">
        <f>IF('Flow Indicator Parts List'!$D$2="CDN$",_xlfn.XLOOKUP(A2455,Prices!A:A,Prices!D:D),IF('Flow Indicator Parts List'!$D$2="US$",_xlfn.XLOOKUP(CurrencyModifier!A2455,Prices!A:A,Prices!E:E,"MISSING")))</f>
        <v>#N/A</v>
      </c>
    </row>
    <row r="2456" spans="1:2">
      <c r="A2456">
        <f>Prices!A2462</f>
        <v>0</v>
      </c>
      <c r="B2456" s="470" t="e">
        <f>IF('Flow Indicator Parts List'!$D$2="CDN$",_xlfn.XLOOKUP(A2456,Prices!A:A,Prices!D:D),IF('Flow Indicator Parts List'!$D$2="US$",_xlfn.XLOOKUP(CurrencyModifier!A2456,Prices!A:A,Prices!E:E,"MISSING")))</f>
        <v>#N/A</v>
      </c>
    </row>
    <row r="2457" spans="1:2">
      <c r="A2457">
        <f>Prices!A2463</f>
        <v>0</v>
      </c>
      <c r="B2457" s="470" t="e">
        <f>IF('Flow Indicator Parts List'!$D$2="CDN$",_xlfn.XLOOKUP(A2457,Prices!A:A,Prices!D:D),IF('Flow Indicator Parts List'!$D$2="US$",_xlfn.XLOOKUP(CurrencyModifier!A2457,Prices!A:A,Prices!E:E,"MISSING")))</f>
        <v>#N/A</v>
      </c>
    </row>
    <row r="2458" spans="1:2">
      <c r="A2458">
        <f>Prices!A2464</f>
        <v>0</v>
      </c>
      <c r="B2458" s="470" t="e">
        <f>IF('Flow Indicator Parts List'!$D$2="CDN$",_xlfn.XLOOKUP(A2458,Prices!A:A,Prices!D:D),IF('Flow Indicator Parts List'!$D$2="US$",_xlfn.XLOOKUP(CurrencyModifier!A2458,Prices!A:A,Prices!E:E,"MISSING")))</f>
        <v>#N/A</v>
      </c>
    </row>
    <row r="2459" spans="1:2">
      <c r="A2459">
        <f>Prices!A2465</f>
        <v>0</v>
      </c>
      <c r="B2459" s="470" t="e">
        <f>IF('Flow Indicator Parts List'!$D$2="CDN$",_xlfn.XLOOKUP(A2459,Prices!A:A,Prices!D:D),IF('Flow Indicator Parts List'!$D$2="US$",_xlfn.XLOOKUP(CurrencyModifier!A2459,Prices!A:A,Prices!E:E,"MISSING")))</f>
        <v>#N/A</v>
      </c>
    </row>
    <row r="2460" spans="1:2">
      <c r="A2460">
        <f>Prices!A2466</f>
        <v>0</v>
      </c>
      <c r="B2460" s="470" t="e">
        <f>IF('Flow Indicator Parts List'!$D$2="CDN$",_xlfn.XLOOKUP(A2460,Prices!A:A,Prices!D:D),IF('Flow Indicator Parts List'!$D$2="US$",_xlfn.XLOOKUP(CurrencyModifier!A2460,Prices!A:A,Prices!E:E,"MISSING")))</f>
        <v>#N/A</v>
      </c>
    </row>
    <row r="2461" spans="1:2">
      <c r="A2461">
        <f>Prices!A2467</f>
        <v>0</v>
      </c>
      <c r="B2461" s="470" t="e">
        <f>IF('Flow Indicator Parts List'!$D$2="CDN$",_xlfn.XLOOKUP(A2461,Prices!A:A,Prices!D:D),IF('Flow Indicator Parts List'!$D$2="US$",_xlfn.XLOOKUP(CurrencyModifier!A2461,Prices!A:A,Prices!E:E,"MISSING")))</f>
        <v>#N/A</v>
      </c>
    </row>
    <row r="2462" spans="1:2">
      <c r="A2462">
        <f>Prices!A2468</f>
        <v>0</v>
      </c>
      <c r="B2462" s="470" t="e">
        <f>IF('Flow Indicator Parts List'!$D$2="CDN$",_xlfn.XLOOKUP(A2462,Prices!A:A,Prices!D:D),IF('Flow Indicator Parts List'!$D$2="US$",_xlfn.XLOOKUP(CurrencyModifier!A2462,Prices!A:A,Prices!E:E,"MISSING")))</f>
        <v>#N/A</v>
      </c>
    </row>
    <row r="2463" spans="1:2">
      <c r="A2463">
        <f>Prices!A2469</f>
        <v>0</v>
      </c>
      <c r="B2463" s="470" t="e">
        <f>IF('Flow Indicator Parts List'!$D$2="CDN$",_xlfn.XLOOKUP(A2463,Prices!A:A,Prices!D:D),IF('Flow Indicator Parts List'!$D$2="US$",_xlfn.XLOOKUP(CurrencyModifier!A2463,Prices!A:A,Prices!E:E,"MISSING")))</f>
        <v>#N/A</v>
      </c>
    </row>
    <row r="2464" spans="1:2">
      <c r="A2464">
        <f>Prices!A2470</f>
        <v>0</v>
      </c>
      <c r="B2464" s="470" t="e">
        <f>IF('Flow Indicator Parts List'!$D$2="CDN$",_xlfn.XLOOKUP(A2464,Prices!A:A,Prices!D:D),IF('Flow Indicator Parts List'!$D$2="US$",_xlfn.XLOOKUP(CurrencyModifier!A2464,Prices!A:A,Prices!E:E,"MISSING")))</f>
        <v>#N/A</v>
      </c>
    </row>
    <row r="2465" spans="1:2">
      <c r="A2465">
        <f>Prices!A2471</f>
        <v>0</v>
      </c>
      <c r="B2465" s="470" t="e">
        <f>IF('Flow Indicator Parts List'!$D$2="CDN$",_xlfn.XLOOKUP(A2465,Prices!A:A,Prices!D:D),IF('Flow Indicator Parts List'!$D$2="US$",_xlfn.XLOOKUP(CurrencyModifier!A2465,Prices!A:A,Prices!E:E,"MISSING")))</f>
        <v>#N/A</v>
      </c>
    </row>
    <row r="2466" spans="1:2">
      <c r="A2466">
        <f>Prices!A2472</f>
        <v>0</v>
      </c>
      <c r="B2466" s="470" t="e">
        <f>IF('Flow Indicator Parts List'!$D$2="CDN$",_xlfn.XLOOKUP(A2466,Prices!A:A,Prices!D:D),IF('Flow Indicator Parts List'!$D$2="US$",_xlfn.XLOOKUP(CurrencyModifier!A2466,Prices!A:A,Prices!E:E,"MISSING")))</f>
        <v>#N/A</v>
      </c>
    </row>
    <row r="2467" spans="1:2">
      <c r="A2467">
        <f>Prices!A2473</f>
        <v>0</v>
      </c>
      <c r="B2467" s="470" t="e">
        <f>IF('Flow Indicator Parts List'!$D$2="CDN$",_xlfn.XLOOKUP(A2467,Prices!A:A,Prices!D:D),IF('Flow Indicator Parts List'!$D$2="US$",_xlfn.XLOOKUP(CurrencyModifier!A2467,Prices!A:A,Prices!E:E,"MISSING")))</f>
        <v>#N/A</v>
      </c>
    </row>
    <row r="2468" spans="1:2">
      <c r="A2468">
        <f>Prices!A2474</f>
        <v>0</v>
      </c>
      <c r="B2468" s="470" t="e">
        <f>IF('Flow Indicator Parts List'!$D$2="CDN$",_xlfn.XLOOKUP(A2468,Prices!A:A,Prices!D:D),IF('Flow Indicator Parts List'!$D$2="US$",_xlfn.XLOOKUP(CurrencyModifier!A2468,Prices!A:A,Prices!E:E,"MISSING")))</f>
        <v>#N/A</v>
      </c>
    </row>
    <row r="2469" spans="1:2">
      <c r="A2469">
        <f>Prices!A2475</f>
        <v>0</v>
      </c>
      <c r="B2469" s="470" t="e">
        <f>IF('Flow Indicator Parts List'!$D$2="CDN$",_xlfn.XLOOKUP(A2469,Prices!A:A,Prices!D:D),IF('Flow Indicator Parts List'!$D$2="US$",_xlfn.XLOOKUP(CurrencyModifier!A2469,Prices!A:A,Prices!E:E,"MISSING")))</f>
        <v>#N/A</v>
      </c>
    </row>
    <row r="2470" spans="1:2">
      <c r="A2470">
        <f>Prices!A2476</f>
        <v>0</v>
      </c>
      <c r="B2470" s="470" t="e">
        <f>IF('Flow Indicator Parts List'!$D$2="CDN$",_xlfn.XLOOKUP(A2470,Prices!A:A,Prices!D:D),IF('Flow Indicator Parts List'!$D$2="US$",_xlfn.XLOOKUP(CurrencyModifier!A2470,Prices!A:A,Prices!E:E,"MISSING")))</f>
        <v>#N/A</v>
      </c>
    </row>
    <row r="2471" spans="1:2">
      <c r="A2471">
        <f>Prices!A2477</f>
        <v>0</v>
      </c>
      <c r="B2471" s="470" t="e">
        <f>IF('Flow Indicator Parts List'!$D$2="CDN$",_xlfn.XLOOKUP(A2471,Prices!A:A,Prices!D:D),IF('Flow Indicator Parts List'!$D$2="US$",_xlfn.XLOOKUP(CurrencyModifier!A2471,Prices!A:A,Prices!E:E,"MISSING")))</f>
        <v>#N/A</v>
      </c>
    </row>
    <row r="2472" spans="1:2">
      <c r="A2472">
        <f>Prices!A2478</f>
        <v>0</v>
      </c>
      <c r="B2472" s="470" t="e">
        <f>IF('Flow Indicator Parts List'!$D$2="CDN$",_xlfn.XLOOKUP(A2472,Prices!A:A,Prices!D:D),IF('Flow Indicator Parts List'!$D$2="US$",_xlfn.XLOOKUP(CurrencyModifier!A2472,Prices!A:A,Prices!E:E,"MISSING")))</f>
        <v>#N/A</v>
      </c>
    </row>
    <row r="2473" spans="1:2">
      <c r="A2473">
        <f>Prices!A2479</f>
        <v>0</v>
      </c>
      <c r="B2473" s="470" t="e">
        <f>IF('Flow Indicator Parts List'!$D$2="CDN$",_xlfn.XLOOKUP(A2473,Prices!A:A,Prices!D:D),IF('Flow Indicator Parts List'!$D$2="US$",_xlfn.XLOOKUP(CurrencyModifier!A2473,Prices!A:A,Prices!E:E,"MISSING")))</f>
        <v>#N/A</v>
      </c>
    </row>
    <row r="2474" spans="1:2">
      <c r="A2474">
        <f>Prices!A2480</f>
        <v>0</v>
      </c>
      <c r="B2474" s="470" t="e">
        <f>IF('Flow Indicator Parts List'!$D$2="CDN$",_xlfn.XLOOKUP(A2474,Prices!A:A,Prices!D:D),IF('Flow Indicator Parts List'!$D$2="US$",_xlfn.XLOOKUP(CurrencyModifier!A2474,Prices!A:A,Prices!E:E,"MISSING")))</f>
        <v>#N/A</v>
      </c>
    </row>
    <row r="2475" spans="1:2">
      <c r="A2475">
        <f>Prices!A2481</f>
        <v>0</v>
      </c>
      <c r="B2475" s="470" t="e">
        <f>IF('Flow Indicator Parts List'!$D$2="CDN$",_xlfn.XLOOKUP(A2475,Prices!A:A,Prices!D:D),IF('Flow Indicator Parts List'!$D$2="US$",_xlfn.XLOOKUP(CurrencyModifier!A2475,Prices!A:A,Prices!E:E,"MISSING")))</f>
        <v>#N/A</v>
      </c>
    </row>
    <row r="2476" spans="1:2">
      <c r="A2476">
        <f>Prices!A2482</f>
        <v>0</v>
      </c>
      <c r="B2476" s="470" t="e">
        <f>IF('Flow Indicator Parts List'!$D$2="CDN$",_xlfn.XLOOKUP(A2476,Prices!A:A,Prices!D:D),IF('Flow Indicator Parts List'!$D$2="US$",_xlfn.XLOOKUP(CurrencyModifier!A2476,Prices!A:A,Prices!E:E,"MISSING")))</f>
        <v>#N/A</v>
      </c>
    </row>
    <row r="2477" spans="1:2">
      <c r="A2477">
        <f>Prices!A2483</f>
        <v>0</v>
      </c>
      <c r="B2477" s="470" t="e">
        <f>IF('Flow Indicator Parts List'!$D$2="CDN$",_xlfn.XLOOKUP(A2477,Prices!A:A,Prices!D:D),IF('Flow Indicator Parts List'!$D$2="US$",_xlfn.XLOOKUP(CurrencyModifier!A2477,Prices!A:A,Prices!E:E,"MISSING")))</f>
        <v>#N/A</v>
      </c>
    </row>
    <row r="2478" spans="1:2">
      <c r="A2478">
        <f>Prices!A2484</f>
        <v>0</v>
      </c>
      <c r="B2478" s="470" t="e">
        <f>IF('Flow Indicator Parts List'!$D$2="CDN$",_xlfn.XLOOKUP(A2478,Prices!A:A,Prices!D:D),IF('Flow Indicator Parts List'!$D$2="US$",_xlfn.XLOOKUP(CurrencyModifier!A2478,Prices!A:A,Prices!E:E,"MISSING")))</f>
        <v>#N/A</v>
      </c>
    </row>
    <row r="2479" spans="1:2">
      <c r="A2479">
        <f>Prices!A2485</f>
        <v>0</v>
      </c>
      <c r="B2479" s="470" t="e">
        <f>IF('Flow Indicator Parts List'!$D$2="CDN$",_xlfn.XLOOKUP(A2479,Prices!A:A,Prices!D:D),IF('Flow Indicator Parts List'!$D$2="US$",_xlfn.XLOOKUP(CurrencyModifier!A2479,Prices!A:A,Prices!E:E,"MISSING")))</f>
        <v>#N/A</v>
      </c>
    </row>
    <row r="2480" spans="1:2">
      <c r="A2480">
        <f>Prices!A2486</f>
        <v>0</v>
      </c>
      <c r="B2480" s="470" t="e">
        <f>IF('Flow Indicator Parts List'!$D$2="CDN$",_xlfn.XLOOKUP(A2480,Prices!A:A,Prices!D:D),IF('Flow Indicator Parts List'!$D$2="US$",_xlfn.XLOOKUP(CurrencyModifier!A2480,Prices!A:A,Prices!E:E,"MISSING")))</f>
        <v>#N/A</v>
      </c>
    </row>
    <row r="2481" spans="1:2">
      <c r="A2481">
        <f>Prices!A2487</f>
        <v>0</v>
      </c>
      <c r="B2481" s="470" t="e">
        <f>IF('Flow Indicator Parts List'!$D$2="CDN$",_xlfn.XLOOKUP(A2481,Prices!A:A,Prices!D:D),IF('Flow Indicator Parts List'!$D$2="US$",_xlfn.XLOOKUP(CurrencyModifier!A2481,Prices!A:A,Prices!E:E,"MISSING")))</f>
        <v>#N/A</v>
      </c>
    </row>
    <row r="2482" spans="1:2">
      <c r="A2482">
        <f>Prices!A2488</f>
        <v>0</v>
      </c>
      <c r="B2482" s="470" t="e">
        <f>IF('Flow Indicator Parts List'!$D$2="CDN$",_xlfn.XLOOKUP(A2482,Prices!A:A,Prices!D:D),IF('Flow Indicator Parts List'!$D$2="US$",_xlfn.XLOOKUP(CurrencyModifier!A2482,Prices!A:A,Prices!E:E,"MISSING")))</f>
        <v>#N/A</v>
      </c>
    </row>
    <row r="2483" spans="1:2">
      <c r="A2483">
        <f>Prices!A2489</f>
        <v>0</v>
      </c>
      <c r="B2483" s="470" t="e">
        <f>IF('Flow Indicator Parts List'!$D$2="CDN$",_xlfn.XLOOKUP(A2483,Prices!A:A,Prices!D:D),IF('Flow Indicator Parts List'!$D$2="US$",_xlfn.XLOOKUP(CurrencyModifier!A2483,Prices!A:A,Prices!E:E,"MISSING")))</f>
        <v>#N/A</v>
      </c>
    </row>
    <row r="2484" spans="1:2">
      <c r="A2484">
        <f>Prices!A2490</f>
        <v>0</v>
      </c>
      <c r="B2484" s="470" t="e">
        <f>IF('Flow Indicator Parts List'!$D$2="CDN$",_xlfn.XLOOKUP(A2484,Prices!A:A,Prices!D:D),IF('Flow Indicator Parts List'!$D$2="US$",_xlfn.XLOOKUP(CurrencyModifier!A2484,Prices!A:A,Prices!E:E,"MISSING")))</f>
        <v>#N/A</v>
      </c>
    </row>
    <row r="2485" spans="1:2">
      <c r="A2485">
        <f>Prices!A2491</f>
        <v>0</v>
      </c>
      <c r="B2485" s="470" t="e">
        <f>IF('Flow Indicator Parts List'!$D$2="CDN$",_xlfn.XLOOKUP(A2485,Prices!A:A,Prices!D:D),IF('Flow Indicator Parts List'!$D$2="US$",_xlfn.XLOOKUP(CurrencyModifier!A2485,Prices!A:A,Prices!E:E,"MISSING")))</f>
        <v>#N/A</v>
      </c>
    </row>
    <row r="2486" spans="1:2">
      <c r="A2486">
        <f>Prices!A2492</f>
        <v>0</v>
      </c>
      <c r="B2486" s="470" t="e">
        <f>IF('Flow Indicator Parts List'!$D$2="CDN$",_xlfn.XLOOKUP(A2486,Prices!A:A,Prices!D:D),IF('Flow Indicator Parts List'!$D$2="US$",_xlfn.XLOOKUP(CurrencyModifier!A2486,Prices!A:A,Prices!E:E,"MISSING")))</f>
        <v>#N/A</v>
      </c>
    </row>
    <row r="2487" spans="1:2">
      <c r="A2487">
        <f>Prices!A2493</f>
        <v>0</v>
      </c>
      <c r="B2487" s="470" t="e">
        <f>IF('Flow Indicator Parts List'!$D$2="CDN$",_xlfn.XLOOKUP(A2487,Prices!A:A,Prices!D:D),IF('Flow Indicator Parts List'!$D$2="US$",_xlfn.XLOOKUP(CurrencyModifier!A2487,Prices!A:A,Prices!E:E,"MISSING")))</f>
        <v>#N/A</v>
      </c>
    </row>
    <row r="2488" spans="1:2">
      <c r="A2488">
        <f>Prices!A2494</f>
        <v>0</v>
      </c>
      <c r="B2488" s="470" t="e">
        <f>IF('Flow Indicator Parts List'!$D$2="CDN$",_xlfn.XLOOKUP(A2488,Prices!A:A,Prices!D:D),IF('Flow Indicator Parts List'!$D$2="US$",_xlfn.XLOOKUP(CurrencyModifier!A2488,Prices!A:A,Prices!E:E,"MISSING")))</f>
        <v>#N/A</v>
      </c>
    </row>
    <row r="2489" spans="1:2">
      <c r="A2489">
        <f>Prices!A2495</f>
        <v>0</v>
      </c>
      <c r="B2489" s="470" t="e">
        <f>IF('Flow Indicator Parts List'!$D$2="CDN$",_xlfn.XLOOKUP(A2489,Prices!A:A,Prices!D:D),IF('Flow Indicator Parts List'!$D$2="US$",_xlfn.XLOOKUP(CurrencyModifier!A2489,Prices!A:A,Prices!E:E,"MISSING")))</f>
        <v>#N/A</v>
      </c>
    </row>
    <row r="2490" spans="1:2">
      <c r="A2490">
        <f>Prices!A2496</f>
        <v>0</v>
      </c>
      <c r="B2490" s="470" t="e">
        <f>IF('Flow Indicator Parts List'!$D$2="CDN$",_xlfn.XLOOKUP(A2490,Prices!A:A,Prices!D:D),IF('Flow Indicator Parts List'!$D$2="US$",_xlfn.XLOOKUP(CurrencyModifier!A2490,Prices!A:A,Prices!E:E,"MISSING")))</f>
        <v>#N/A</v>
      </c>
    </row>
    <row r="2491" spans="1:2">
      <c r="A2491">
        <f>Prices!A2497</f>
        <v>0</v>
      </c>
      <c r="B2491" s="470" t="e">
        <f>IF('Flow Indicator Parts List'!$D$2="CDN$",_xlfn.XLOOKUP(A2491,Prices!A:A,Prices!D:D),IF('Flow Indicator Parts List'!$D$2="US$",_xlfn.XLOOKUP(CurrencyModifier!A2491,Prices!A:A,Prices!E:E,"MISSING")))</f>
        <v>#N/A</v>
      </c>
    </row>
    <row r="2492" spans="1:2">
      <c r="A2492">
        <f>Prices!A2498</f>
        <v>0</v>
      </c>
      <c r="B2492" s="470" t="e">
        <f>IF('Flow Indicator Parts List'!$D$2="CDN$",_xlfn.XLOOKUP(A2492,Prices!A:A,Prices!D:D),IF('Flow Indicator Parts List'!$D$2="US$",_xlfn.XLOOKUP(CurrencyModifier!A2492,Prices!A:A,Prices!E:E,"MISSING")))</f>
        <v>#N/A</v>
      </c>
    </row>
    <row r="2493" spans="1:2">
      <c r="A2493">
        <f>Prices!A2499</f>
        <v>0</v>
      </c>
      <c r="B2493" s="470" t="e">
        <f>IF('Flow Indicator Parts List'!$D$2="CDN$",_xlfn.XLOOKUP(A2493,Prices!A:A,Prices!D:D),IF('Flow Indicator Parts List'!$D$2="US$",_xlfn.XLOOKUP(CurrencyModifier!A2493,Prices!A:A,Prices!E:E,"MISSING")))</f>
        <v>#N/A</v>
      </c>
    </row>
    <row r="2494" spans="1:2">
      <c r="A2494">
        <f>Prices!A2500</f>
        <v>0</v>
      </c>
      <c r="B2494" s="470" t="e">
        <f>IF('Flow Indicator Parts List'!$D$2="CDN$",_xlfn.XLOOKUP(A2494,Prices!A:A,Prices!D:D),IF('Flow Indicator Parts List'!$D$2="US$",_xlfn.XLOOKUP(CurrencyModifier!A2494,Prices!A:A,Prices!E:E,"MISSING")))</f>
        <v>#N/A</v>
      </c>
    </row>
    <row r="2495" spans="1:2">
      <c r="A2495">
        <f>Prices!A2501</f>
        <v>0</v>
      </c>
      <c r="B2495" s="470" t="e">
        <f>IF('Flow Indicator Parts List'!$D$2="CDN$",_xlfn.XLOOKUP(A2495,Prices!A:A,Prices!D:D),IF('Flow Indicator Parts List'!$D$2="US$",_xlfn.XLOOKUP(CurrencyModifier!A2495,Prices!A:A,Prices!E:E,"MISSING")))</f>
        <v>#N/A</v>
      </c>
    </row>
    <row r="2496" spans="1:2">
      <c r="A2496">
        <f>Prices!A2502</f>
        <v>0</v>
      </c>
      <c r="B2496" s="470" t="e">
        <f>IF('Flow Indicator Parts List'!$D$2="CDN$",_xlfn.XLOOKUP(A2496,Prices!A:A,Prices!D:D),IF('Flow Indicator Parts List'!$D$2="US$",_xlfn.XLOOKUP(CurrencyModifier!A2496,Prices!A:A,Prices!E:E,"MISSING")))</f>
        <v>#N/A</v>
      </c>
    </row>
    <row r="2497" spans="1:2">
      <c r="A2497">
        <f>Prices!A2503</f>
        <v>0</v>
      </c>
      <c r="B2497" s="470" t="e">
        <f>IF('Flow Indicator Parts List'!$D$2="CDN$",_xlfn.XLOOKUP(A2497,Prices!A:A,Prices!D:D),IF('Flow Indicator Parts List'!$D$2="US$",_xlfn.XLOOKUP(CurrencyModifier!A2497,Prices!A:A,Prices!E:E,"MISSING")))</f>
        <v>#N/A</v>
      </c>
    </row>
    <row r="2498" spans="1:2">
      <c r="A2498">
        <f>Prices!A2504</f>
        <v>0</v>
      </c>
      <c r="B2498" s="470" t="e">
        <f>IF('Flow Indicator Parts List'!$D$2="CDN$",_xlfn.XLOOKUP(A2498,Prices!A:A,Prices!D:D),IF('Flow Indicator Parts List'!$D$2="US$",_xlfn.XLOOKUP(CurrencyModifier!A2498,Prices!A:A,Prices!E:E,"MISSING")))</f>
        <v>#N/A</v>
      </c>
    </row>
    <row r="2499" spans="1:2">
      <c r="A2499">
        <f>Prices!A2505</f>
        <v>0</v>
      </c>
      <c r="B2499" s="470" t="e">
        <f>IF('Flow Indicator Parts List'!$D$2="CDN$",_xlfn.XLOOKUP(A2499,Prices!A:A,Prices!D:D),IF('Flow Indicator Parts List'!$D$2="US$",_xlfn.XLOOKUP(CurrencyModifier!A2499,Prices!A:A,Prices!E:E,"MISSING")))</f>
        <v>#N/A</v>
      </c>
    </row>
    <row r="2500" spans="1:2">
      <c r="A2500">
        <f>Prices!A2506</f>
        <v>0</v>
      </c>
      <c r="B2500" s="470" t="e">
        <f>IF('Flow Indicator Parts List'!$D$2="CDN$",_xlfn.XLOOKUP(A2500,Prices!A:A,Prices!D:D),IF('Flow Indicator Parts List'!$D$2="US$",_xlfn.XLOOKUP(CurrencyModifier!A2500,Prices!A:A,Prices!E:E,"MISSING")))</f>
        <v>#N/A</v>
      </c>
    </row>
    <row r="2501" spans="1:2">
      <c r="A2501">
        <f>Prices!A2507</f>
        <v>0</v>
      </c>
      <c r="B2501" s="470" t="e">
        <f>IF('Flow Indicator Parts List'!$D$2="CDN$",_xlfn.XLOOKUP(A2501,Prices!A:A,Prices!D:D),IF('Flow Indicator Parts List'!$D$2="US$",_xlfn.XLOOKUP(CurrencyModifier!A2501,Prices!A:A,Prices!E:E,"MISSING")))</f>
        <v>#N/A</v>
      </c>
    </row>
    <row r="2502" spans="1:2">
      <c r="A2502">
        <f>Prices!A2508</f>
        <v>0</v>
      </c>
      <c r="B2502" s="470" t="e">
        <f>IF('Flow Indicator Parts List'!$D$2="CDN$",_xlfn.XLOOKUP(A2502,Prices!A:A,Prices!D:D),IF('Flow Indicator Parts List'!$D$2="US$",_xlfn.XLOOKUP(CurrencyModifier!A2502,Prices!A:A,Prices!E:E,"MISSING")))</f>
        <v>#N/A</v>
      </c>
    </row>
    <row r="2503" spans="1:2">
      <c r="A2503">
        <f>Prices!A2509</f>
        <v>0</v>
      </c>
      <c r="B2503" s="470" t="e">
        <f>IF('Flow Indicator Parts List'!$D$2="CDN$",_xlfn.XLOOKUP(A2503,Prices!A:A,Prices!D:D),IF('Flow Indicator Parts List'!$D$2="US$",_xlfn.XLOOKUP(CurrencyModifier!A2503,Prices!A:A,Prices!E:E,"MISSING")))</f>
        <v>#N/A</v>
      </c>
    </row>
    <row r="2504" spans="1:2">
      <c r="A2504">
        <f>Prices!A2510</f>
        <v>0</v>
      </c>
      <c r="B2504" s="470" t="e">
        <f>IF('Flow Indicator Parts List'!$D$2="CDN$",_xlfn.XLOOKUP(A2504,Prices!A:A,Prices!D:D),IF('Flow Indicator Parts List'!$D$2="US$",_xlfn.XLOOKUP(CurrencyModifier!A2504,Prices!A:A,Prices!E:E,"MISSING")))</f>
        <v>#N/A</v>
      </c>
    </row>
    <row r="2505" spans="1:2">
      <c r="A2505">
        <f>Prices!A2511</f>
        <v>0</v>
      </c>
      <c r="B2505" s="470" t="e">
        <f>IF('Flow Indicator Parts List'!$D$2="CDN$",_xlfn.XLOOKUP(A2505,Prices!A:A,Prices!D:D),IF('Flow Indicator Parts List'!$D$2="US$",_xlfn.XLOOKUP(CurrencyModifier!A2505,Prices!A:A,Prices!E:E,"MISSING")))</f>
        <v>#N/A</v>
      </c>
    </row>
    <row r="2506" spans="1:2">
      <c r="A2506">
        <f>Prices!A2512</f>
        <v>0</v>
      </c>
      <c r="B2506" s="470" t="e">
        <f>IF('Flow Indicator Parts List'!$D$2="CDN$",_xlfn.XLOOKUP(A2506,Prices!A:A,Prices!D:D),IF('Flow Indicator Parts List'!$D$2="US$",_xlfn.XLOOKUP(CurrencyModifier!A2506,Prices!A:A,Prices!E:E,"MISSING")))</f>
        <v>#N/A</v>
      </c>
    </row>
    <row r="2507" spans="1:2">
      <c r="A2507">
        <f>Prices!A2513</f>
        <v>0</v>
      </c>
      <c r="B2507" s="470" t="e">
        <f>IF('Flow Indicator Parts List'!$D$2="CDN$",_xlfn.XLOOKUP(A2507,Prices!A:A,Prices!D:D),IF('Flow Indicator Parts List'!$D$2="US$",_xlfn.XLOOKUP(CurrencyModifier!A2507,Prices!A:A,Prices!E:E,"MISSING")))</f>
        <v>#N/A</v>
      </c>
    </row>
    <row r="2508" spans="1:2">
      <c r="A2508">
        <f>Prices!A2514</f>
        <v>0</v>
      </c>
      <c r="B2508" s="470" t="e">
        <f>IF('Flow Indicator Parts List'!$D$2="CDN$",_xlfn.XLOOKUP(A2508,Prices!A:A,Prices!D:D),IF('Flow Indicator Parts List'!$D$2="US$",_xlfn.XLOOKUP(CurrencyModifier!A2508,Prices!A:A,Prices!E:E,"MISSING")))</f>
        <v>#N/A</v>
      </c>
    </row>
    <row r="2509" spans="1:2">
      <c r="A2509">
        <f>Prices!A2515</f>
        <v>0</v>
      </c>
      <c r="B2509" s="470" t="e">
        <f>IF('Flow Indicator Parts List'!$D$2="CDN$",_xlfn.XLOOKUP(A2509,Prices!A:A,Prices!D:D),IF('Flow Indicator Parts List'!$D$2="US$",_xlfn.XLOOKUP(CurrencyModifier!A2509,Prices!A:A,Prices!E:E,"MISSING")))</f>
        <v>#N/A</v>
      </c>
    </row>
    <row r="2510" spans="1:2">
      <c r="A2510">
        <f>Prices!A2516</f>
        <v>0</v>
      </c>
      <c r="B2510" s="470" t="e">
        <f>IF('Flow Indicator Parts List'!$D$2="CDN$",_xlfn.XLOOKUP(A2510,Prices!A:A,Prices!D:D),IF('Flow Indicator Parts List'!$D$2="US$",_xlfn.XLOOKUP(CurrencyModifier!A2510,Prices!A:A,Prices!E:E,"MISSING")))</f>
        <v>#N/A</v>
      </c>
    </row>
    <row r="2511" spans="1:2">
      <c r="A2511">
        <f>Prices!A2517</f>
        <v>0</v>
      </c>
      <c r="B2511" s="470" t="e">
        <f>IF('Flow Indicator Parts List'!$D$2="CDN$",_xlfn.XLOOKUP(A2511,Prices!A:A,Prices!D:D),IF('Flow Indicator Parts List'!$D$2="US$",_xlfn.XLOOKUP(CurrencyModifier!A2511,Prices!A:A,Prices!E:E,"MISSING")))</f>
        <v>#N/A</v>
      </c>
    </row>
    <row r="2512" spans="1:2">
      <c r="A2512">
        <f>Prices!A2518</f>
        <v>0</v>
      </c>
      <c r="B2512" s="470" t="e">
        <f>IF('Flow Indicator Parts List'!$D$2="CDN$",_xlfn.XLOOKUP(A2512,Prices!A:A,Prices!D:D),IF('Flow Indicator Parts List'!$D$2="US$",_xlfn.XLOOKUP(CurrencyModifier!A2512,Prices!A:A,Prices!E:E,"MISSING")))</f>
        <v>#N/A</v>
      </c>
    </row>
    <row r="2513" spans="1:2">
      <c r="A2513">
        <f>Prices!A2519</f>
        <v>0</v>
      </c>
      <c r="B2513" s="470" t="e">
        <f>IF('Flow Indicator Parts List'!$D$2="CDN$",_xlfn.XLOOKUP(A2513,Prices!A:A,Prices!D:D),IF('Flow Indicator Parts List'!$D$2="US$",_xlfn.XLOOKUP(CurrencyModifier!A2513,Prices!A:A,Prices!E:E,"MISSING")))</f>
        <v>#N/A</v>
      </c>
    </row>
    <row r="2514" spans="1:2">
      <c r="A2514">
        <f>Prices!A2520</f>
        <v>0</v>
      </c>
      <c r="B2514" s="470" t="e">
        <f>IF('Flow Indicator Parts List'!$D$2="CDN$",_xlfn.XLOOKUP(A2514,Prices!A:A,Prices!D:D),IF('Flow Indicator Parts List'!$D$2="US$",_xlfn.XLOOKUP(CurrencyModifier!A2514,Prices!A:A,Prices!E:E,"MISSING")))</f>
        <v>#N/A</v>
      </c>
    </row>
    <row r="2515" spans="1:2">
      <c r="A2515">
        <f>Prices!A2521</f>
        <v>0</v>
      </c>
      <c r="B2515" s="470" t="e">
        <f>IF('Flow Indicator Parts List'!$D$2="CDN$",_xlfn.XLOOKUP(A2515,Prices!A:A,Prices!D:D),IF('Flow Indicator Parts List'!$D$2="US$",_xlfn.XLOOKUP(CurrencyModifier!A2515,Prices!A:A,Prices!E:E,"MISSING")))</f>
        <v>#N/A</v>
      </c>
    </row>
    <row r="2516" spans="1:2">
      <c r="A2516">
        <f>Prices!A2522</f>
        <v>0</v>
      </c>
      <c r="B2516" s="470" t="e">
        <f>IF('Flow Indicator Parts List'!$D$2="CDN$",_xlfn.XLOOKUP(A2516,Prices!A:A,Prices!D:D),IF('Flow Indicator Parts List'!$D$2="US$",_xlfn.XLOOKUP(CurrencyModifier!A2516,Prices!A:A,Prices!E:E,"MISSING")))</f>
        <v>#N/A</v>
      </c>
    </row>
    <row r="2517" spans="1:2">
      <c r="A2517">
        <f>Prices!A2523</f>
        <v>0</v>
      </c>
      <c r="B2517" s="470" t="e">
        <f>IF('Flow Indicator Parts List'!$D$2="CDN$",_xlfn.XLOOKUP(A2517,Prices!A:A,Prices!D:D),IF('Flow Indicator Parts List'!$D$2="US$",_xlfn.XLOOKUP(CurrencyModifier!A2517,Prices!A:A,Prices!E:E,"MISSING")))</f>
        <v>#N/A</v>
      </c>
    </row>
    <row r="2518" spans="1:2">
      <c r="A2518">
        <f>Prices!A2524</f>
        <v>0</v>
      </c>
      <c r="B2518" s="470" t="e">
        <f>IF('Flow Indicator Parts List'!$D$2="CDN$",_xlfn.XLOOKUP(A2518,Prices!A:A,Prices!D:D),IF('Flow Indicator Parts List'!$D$2="US$",_xlfn.XLOOKUP(CurrencyModifier!A2518,Prices!A:A,Prices!E:E,"MISSING")))</f>
        <v>#N/A</v>
      </c>
    </row>
    <row r="2519" spans="1:2">
      <c r="A2519">
        <f>Prices!A2525</f>
        <v>0</v>
      </c>
      <c r="B2519" s="470" t="e">
        <f>IF('Flow Indicator Parts List'!$D$2="CDN$",_xlfn.XLOOKUP(A2519,Prices!A:A,Prices!D:D),IF('Flow Indicator Parts List'!$D$2="US$",_xlfn.XLOOKUP(CurrencyModifier!A2519,Prices!A:A,Prices!E:E,"MISSING")))</f>
        <v>#N/A</v>
      </c>
    </row>
    <row r="2520" spans="1:2">
      <c r="A2520">
        <f>Prices!A2526</f>
        <v>0</v>
      </c>
      <c r="B2520" s="470" t="e">
        <f>IF('Flow Indicator Parts List'!$D$2="CDN$",_xlfn.XLOOKUP(A2520,Prices!A:A,Prices!D:D),IF('Flow Indicator Parts List'!$D$2="US$",_xlfn.XLOOKUP(CurrencyModifier!A2520,Prices!A:A,Prices!E:E,"MISSING")))</f>
        <v>#N/A</v>
      </c>
    </row>
    <row r="2521" spans="1:2">
      <c r="A2521">
        <f>Prices!A2527</f>
        <v>0</v>
      </c>
      <c r="B2521" s="470" t="e">
        <f>IF('Flow Indicator Parts List'!$D$2="CDN$",_xlfn.XLOOKUP(A2521,Prices!A:A,Prices!D:D),IF('Flow Indicator Parts List'!$D$2="US$",_xlfn.XLOOKUP(CurrencyModifier!A2521,Prices!A:A,Prices!E:E,"MISSING")))</f>
        <v>#N/A</v>
      </c>
    </row>
    <row r="2522" spans="1:2">
      <c r="A2522">
        <f>Prices!A2528</f>
        <v>0</v>
      </c>
      <c r="B2522" s="470" t="e">
        <f>IF('Flow Indicator Parts List'!$D$2="CDN$",_xlfn.XLOOKUP(A2522,Prices!A:A,Prices!D:D),IF('Flow Indicator Parts List'!$D$2="US$",_xlfn.XLOOKUP(CurrencyModifier!A2522,Prices!A:A,Prices!E:E,"MISSING")))</f>
        <v>#N/A</v>
      </c>
    </row>
    <row r="2523" spans="1:2">
      <c r="A2523">
        <f>Prices!A2529</f>
        <v>0</v>
      </c>
      <c r="B2523" s="470" t="e">
        <f>IF('Flow Indicator Parts List'!$D$2="CDN$",_xlfn.XLOOKUP(A2523,Prices!A:A,Prices!D:D),IF('Flow Indicator Parts List'!$D$2="US$",_xlfn.XLOOKUP(CurrencyModifier!A2523,Prices!A:A,Prices!E:E,"MISSING")))</f>
        <v>#N/A</v>
      </c>
    </row>
    <row r="2524" spans="1:2">
      <c r="A2524">
        <f>Prices!A2530</f>
        <v>0</v>
      </c>
      <c r="B2524" s="470" t="e">
        <f>IF('Flow Indicator Parts List'!$D$2="CDN$",_xlfn.XLOOKUP(A2524,Prices!A:A,Prices!D:D),IF('Flow Indicator Parts List'!$D$2="US$",_xlfn.XLOOKUP(CurrencyModifier!A2524,Prices!A:A,Prices!E:E,"MISSING")))</f>
        <v>#N/A</v>
      </c>
    </row>
    <row r="2525" spans="1:2">
      <c r="A2525">
        <f>Prices!A2531</f>
        <v>0</v>
      </c>
      <c r="B2525" s="470" t="e">
        <f>IF('Flow Indicator Parts List'!$D$2="CDN$",_xlfn.XLOOKUP(A2525,Prices!A:A,Prices!D:D),IF('Flow Indicator Parts List'!$D$2="US$",_xlfn.XLOOKUP(CurrencyModifier!A2525,Prices!A:A,Prices!E:E,"MISSING")))</f>
        <v>#N/A</v>
      </c>
    </row>
    <row r="2526" spans="1:2">
      <c r="A2526">
        <f>Prices!A2532</f>
        <v>0</v>
      </c>
      <c r="B2526" s="470" t="e">
        <f>IF('Flow Indicator Parts List'!$D$2="CDN$",_xlfn.XLOOKUP(A2526,Prices!A:A,Prices!D:D),IF('Flow Indicator Parts List'!$D$2="US$",_xlfn.XLOOKUP(CurrencyModifier!A2526,Prices!A:A,Prices!E:E,"MISSING")))</f>
        <v>#N/A</v>
      </c>
    </row>
    <row r="2527" spans="1:2">
      <c r="A2527">
        <f>Prices!A2533</f>
        <v>0</v>
      </c>
      <c r="B2527" s="470" t="e">
        <f>IF('Flow Indicator Parts List'!$D$2="CDN$",_xlfn.XLOOKUP(A2527,Prices!A:A,Prices!D:D),IF('Flow Indicator Parts List'!$D$2="US$",_xlfn.XLOOKUP(CurrencyModifier!A2527,Prices!A:A,Prices!E:E,"MISSING")))</f>
        <v>#N/A</v>
      </c>
    </row>
    <row r="2528" spans="1:2">
      <c r="A2528">
        <f>Prices!A2534</f>
        <v>0</v>
      </c>
      <c r="B2528" s="470" t="e">
        <f>IF('Flow Indicator Parts List'!$D$2="CDN$",_xlfn.XLOOKUP(A2528,Prices!A:A,Prices!D:D),IF('Flow Indicator Parts List'!$D$2="US$",_xlfn.XLOOKUP(CurrencyModifier!A2528,Prices!A:A,Prices!E:E,"MISSING")))</f>
        <v>#N/A</v>
      </c>
    </row>
    <row r="2529" spans="1:2">
      <c r="A2529">
        <f>Prices!A2535</f>
        <v>0</v>
      </c>
      <c r="B2529" s="470" t="e">
        <f>IF('Flow Indicator Parts List'!$D$2="CDN$",_xlfn.XLOOKUP(A2529,Prices!A:A,Prices!D:D),IF('Flow Indicator Parts List'!$D$2="US$",_xlfn.XLOOKUP(CurrencyModifier!A2529,Prices!A:A,Prices!E:E,"MISSING")))</f>
        <v>#N/A</v>
      </c>
    </row>
    <row r="2530" spans="1:2">
      <c r="A2530">
        <f>Prices!A2536</f>
        <v>0</v>
      </c>
      <c r="B2530" s="470" t="e">
        <f>IF('Flow Indicator Parts List'!$D$2="CDN$",_xlfn.XLOOKUP(A2530,Prices!A:A,Prices!D:D),IF('Flow Indicator Parts List'!$D$2="US$",_xlfn.XLOOKUP(CurrencyModifier!A2530,Prices!A:A,Prices!E:E,"MISSING")))</f>
        <v>#N/A</v>
      </c>
    </row>
    <row r="2531" spans="1:2">
      <c r="A2531">
        <f>Prices!A2537</f>
        <v>0</v>
      </c>
      <c r="B2531" s="470" t="e">
        <f>IF('Flow Indicator Parts List'!$D$2="CDN$",_xlfn.XLOOKUP(A2531,Prices!A:A,Prices!D:D),IF('Flow Indicator Parts List'!$D$2="US$",_xlfn.XLOOKUP(CurrencyModifier!A2531,Prices!A:A,Prices!E:E,"MISSING")))</f>
        <v>#N/A</v>
      </c>
    </row>
    <row r="2532" spans="1:2">
      <c r="A2532">
        <f>Prices!A2538</f>
        <v>0</v>
      </c>
      <c r="B2532" s="470" t="e">
        <f>IF('Flow Indicator Parts List'!$D$2="CDN$",_xlfn.XLOOKUP(A2532,Prices!A:A,Prices!D:D),IF('Flow Indicator Parts List'!$D$2="US$",_xlfn.XLOOKUP(CurrencyModifier!A2532,Prices!A:A,Prices!E:E,"MISSING")))</f>
        <v>#N/A</v>
      </c>
    </row>
    <row r="2533" spans="1:2">
      <c r="A2533">
        <f>Prices!A2539</f>
        <v>0</v>
      </c>
      <c r="B2533" s="470" t="e">
        <f>IF('Flow Indicator Parts List'!$D$2="CDN$",_xlfn.XLOOKUP(A2533,Prices!A:A,Prices!D:D),IF('Flow Indicator Parts List'!$D$2="US$",_xlfn.XLOOKUP(CurrencyModifier!A2533,Prices!A:A,Prices!E:E,"MISSING")))</f>
        <v>#N/A</v>
      </c>
    </row>
    <row r="2534" spans="1:2">
      <c r="A2534">
        <f>Prices!A2540</f>
        <v>0</v>
      </c>
      <c r="B2534" s="470" t="e">
        <f>IF('Flow Indicator Parts List'!$D$2="CDN$",_xlfn.XLOOKUP(A2534,Prices!A:A,Prices!D:D),IF('Flow Indicator Parts List'!$D$2="US$",_xlfn.XLOOKUP(CurrencyModifier!A2534,Prices!A:A,Prices!E:E,"MISSING")))</f>
        <v>#N/A</v>
      </c>
    </row>
    <row r="2535" spans="1:2">
      <c r="A2535">
        <f>Prices!A2541</f>
        <v>0</v>
      </c>
      <c r="B2535" s="470" t="e">
        <f>IF('Flow Indicator Parts List'!$D$2="CDN$",_xlfn.XLOOKUP(A2535,Prices!A:A,Prices!D:D),IF('Flow Indicator Parts List'!$D$2="US$",_xlfn.XLOOKUP(CurrencyModifier!A2535,Prices!A:A,Prices!E:E,"MISSING")))</f>
        <v>#N/A</v>
      </c>
    </row>
    <row r="2536" spans="1:2">
      <c r="A2536">
        <f>Prices!A2542</f>
        <v>0</v>
      </c>
      <c r="B2536" s="470" t="e">
        <f>IF('Flow Indicator Parts List'!$D$2="CDN$",_xlfn.XLOOKUP(A2536,Prices!A:A,Prices!D:D),IF('Flow Indicator Parts List'!$D$2="US$",_xlfn.XLOOKUP(CurrencyModifier!A2536,Prices!A:A,Prices!E:E,"MISSING")))</f>
        <v>#N/A</v>
      </c>
    </row>
    <row r="2537" spans="1:2">
      <c r="A2537">
        <f>Prices!A2543</f>
        <v>0</v>
      </c>
      <c r="B2537" s="470" t="e">
        <f>IF('Flow Indicator Parts List'!$D$2="CDN$",_xlfn.XLOOKUP(A2537,Prices!A:A,Prices!D:D),IF('Flow Indicator Parts List'!$D$2="US$",_xlfn.XLOOKUP(CurrencyModifier!A2537,Prices!A:A,Prices!E:E,"MISSING")))</f>
        <v>#N/A</v>
      </c>
    </row>
    <row r="2538" spans="1:2">
      <c r="A2538">
        <f>Prices!A2544</f>
        <v>0</v>
      </c>
      <c r="B2538" s="470" t="e">
        <f>IF('Flow Indicator Parts List'!$D$2="CDN$",_xlfn.XLOOKUP(A2538,Prices!A:A,Prices!D:D),IF('Flow Indicator Parts List'!$D$2="US$",_xlfn.XLOOKUP(CurrencyModifier!A2538,Prices!A:A,Prices!E:E,"MISSING")))</f>
        <v>#N/A</v>
      </c>
    </row>
    <row r="2539" spans="1:2">
      <c r="A2539">
        <f>Prices!A2545</f>
        <v>0</v>
      </c>
      <c r="B2539" s="470" t="e">
        <f>IF('Flow Indicator Parts List'!$D$2="CDN$",_xlfn.XLOOKUP(A2539,Prices!A:A,Prices!D:D),IF('Flow Indicator Parts List'!$D$2="US$",_xlfn.XLOOKUP(CurrencyModifier!A2539,Prices!A:A,Prices!E:E,"MISSING")))</f>
        <v>#N/A</v>
      </c>
    </row>
    <row r="2540" spans="1:2">
      <c r="A2540">
        <f>Prices!A2546</f>
        <v>0</v>
      </c>
      <c r="B2540" s="470" t="e">
        <f>IF('Flow Indicator Parts List'!$D$2="CDN$",_xlfn.XLOOKUP(A2540,Prices!A:A,Prices!D:D),IF('Flow Indicator Parts List'!$D$2="US$",_xlfn.XLOOKUP(CurrencyModifier!A2540,Prices!A:A,Prices!E:E,"MISSING")))</f>
        <v>#N/A</v>
      </c>
    </row>
    <row r="2541" spans="1:2">
      <c r="A2541">
        <f>Prices!A2547</f>
        <v>0</v>
      </c>
      <c r="B2541" s="470" t="e">
        <f>IF('Flow Indicator Parts List'!$D$2="CDN$",_xlfn.XLOOKUP(A2541,Prices!A:A,Prices!D:D),IF('Flow Indicator Parts List'!$D$2="US$",_xlfn.XLOOKUP(CurrencyModifier!A2541,Prices!A:A,Prices!E:E,"MISSING")))</f>
        <v>#N/A</v>
      </c>
    </row>
    <row r="2542" spans="1:2">
      <c r="A2542">
        <f>Prices!A2548</f>
        <v>0</v>
      </c>
      <c r="B2542" s="470" t="e">
        <f>IF('Flow Indicator Parts List'!$D$2="CDN$",_xlfn.XLOOKUP(A2542,Prices!A:A,Prices!D:D),IF('Flow Indicator Parts List'!$D$2="US$",_xlfn.XLOOKUP(CurrencyModifier!A2542,Prices!A:A,Prices!E:E,"MISSING")))</f>
        <v>#N/A</v>
      </c>
    </row>
    <row r="2543" spans="1:2">
      <c r="A2543">
        <f>Prices!A2549</f>
        <v>0</v>
      </c>
      <c r="B2543" s="470" t="e">
        <f>IF('Flow Indicator Parts List'!$D$2="CDN$",_xlfn.XLOOKUP(A2543,Prices!A:A,Prices!D:D),IF('Flow Indicator Parts List'!$D$2="US$",_xlfn.XLOOKUP(CurrencyModifier!A2543,Prices!A:A,Prices!E:E,"MISSING")))</f>
        <v>#N/A</v>
      </c>
    </row>
    <row r="2544" spans="1:2">
      <c r="A2544">
        <f>Prices!A2550</f>
        <v>0</v>
      </c>
      <c r="B2544" s="470" t="e">
        <f>IF('Flow Indicator Parts List'!$D$2="CDN$",_xlfn.XLOOKUP(A2544,Prices!A:A,Prices!D:D),IF('Flow Indicator Parts List'!$D$2="US$",_xlfn.XLOOKUP(CurrencyModifier!A2544,Prices!A:A,Prices!E:E,"MISSING")))</f>
        <v>#N/A</v>
      </c>
    </row>
    <row r="2545" spans="1:2">
      <c r="A2545">
        <f>Prices!A2551</f>
        <v>0</v>
      </c>
      <c r="B2545" s="470" t="e">
        <f>IF('Flow Indicator Parts List'!$D$2="CDN$",_xlfn.XLOOKUP(A2545,Prices!A:A,Prices!D:D),IF('Flow Indicator Parts List'!$D$2="US$",_xlfn.XLOOKUP(CurrencyModifier!A2545,Prices!A:A,Prices!E:E,"MISSING")))</f>
        <v>#N/A</v>
      </c>
    </row>
    <row r="2546" spans="1:2">
      <c r="A2546">
        <f>Prices!A2552</f>
        <v>0</v>
      </c>
      <c r="B2546" s="470" t="e">
        <f>IF('Flow Indicator Parts List'!$D$2="CDN$",_xlfn.XLOOKUP(A2546,Prices!A:A,Prices!D:D),IF('Flow Indicator Parts List'!$D$2="US$",_xlfn.XLOOKUP(CurrencyModifier!A2546,Prices!A:A,Prices!E:E,"MISSING")))</f>
        <v>#N/A</v>
      </c>
    </row>
    <row r="2547" spans="1:2">
      <c r="A2547">
        <f>Prices!A2553</f>
        <v>0</v>
      </c>
      <c r="B2547" s="470" t="e">
        <f>IF('Flow Indicator Parts List'!$D$2="CDN$",_xlfn.XLOOKUP(A2547,Prices!A:A,Prices!D:D),IF('Flow Indicator Parts List'!$D$2="US$",_xlfn.XLOOKUP(CurrencyModifier!A2547,Prices!A:A,Prices!E:E,"MISSING")))</f>
        <v>#N/A</v>
      </c>
    </row>
    <row r="2548" spans="1:2">
      <c r="A2548">
        <f>Prices!A2554</f>
        <v>0</v>
      </c>
      <c r="B2548" s="470" t="e">
        <f>IF('Flow Indicator Parts List'!$D$2="CDN$",_xlfn.XLOOKUP(A2548,Prices!A:A,Prices!D:D),IF('Flow Indicator Parts List'!$D$2="US$",_xlfn.XLOOKUP(CurrencyModifier!A2548,Prices!A:A,Prices!E:E,"MISSING")))</f>
        <v>#N/A</v>
      </c>
    </row>
    <row r="2549" spans="1:2">
      <c r="A2549">
        <f>Prices!A2555</f>
        <v>0</v>
      </c>
      <c r="B2549" s="470" t="e">
        <f>IF('Flow Indicator Parts List'!$D$2="CDN$",_xlfn.XLOOKUP(A2549,Prices!A:A,Prices!D:D),IF('Flow Indicator Parts List'!$D$2="US$",_xlfn.XLOOKUP(CurrencyModifier!A2549,Prices!A:A,Prices!E:E,"MISSING")))</f>
        <v>#N/A</v>
      </c>
    </row>
    <row r="2550" spans="1:2">
      <c r="A2550">
        <f>Prices!A2556</f>
        <v>0</v>
      </c>
      <c r="B2550" s="470" t="e">
        <f>IF('Flow Indicator Parts List'!$D$2="CDN$",_xlfn.XLOOKUP(A2550,Prices!A:A,Prices!D:D),IF('Flow Indicator Parts List'!$D$2="US$",_xlfn.XLOOKUP(CurrencyModifier!A2550,Prices!A:A,Prices!E:E,"MISSING")))</f>
        <v>#N/A</v>
      </c>
    </row>
    <row r="2551" spans="1:2">
      <c r="A2551">
        <f>Prices!A2557</f>
        <v>0</v>
      </c>
      <c r="B2551" s="470" t="e">
        <f>IF('Flow Indicator Parts List'!$D$2="CDN$",_xlfn.XLOOKUP(A2551,Prices!A:A,Prices!D:D),IF('Flow Indicator Parts List'!$D$2="US$",_xlfn.XLOOKUP(CurrencyModifier!A2551,Prices!A:A,Prices!E:E,"MISSING")))</f>
        <v>#N/A</v>
      </c>
    </row>
    <row r="2552" spans="1:2">
      <c r="A2552">
        <f>Prices!A2558</f>
        <v>0</v>
      </c>
      <c r="B2552" s="470" t="e">
        <f>IF('Flow Indicator Parts List'!$D$2="CDN$",_xlfn.XLOOKUP(A2552,Prices!A:A,Prices!D:D),IF('Flow Indicator Parts List'!$D$2="US$",_xlfn.XLOOKUP(CurrencyModifier!A2552,Prices!A:A,Prices!E:E,"MISSING")))</f>
        <v>#N/A</v>
      </c>
    </row>
    <row r="2553" spans="1:2">
      <c r="A2553">
        <f>Prices!A2559</f>
        <v>0</v>
      </c>
      <c r="B2553" s="470" t="e">
        <f>IF('Flow Indicator Parts List'!$D$2="CDN$",_xlfn.XLOOKUP(A2553,Prices!A:A,Prices!D:D),IF('Flow Indicator Parts List'!$D$2="US$",_xlfn.XLOOKUP(CurrencyModifier!A2553,Prices!A:A,Prices!E:E,"MISSING")))</f>
        <v>#N/A</v>
      </c>
    </row>
    <row r="2554" spans="1:2">
      <c r="A2554">
        <f>Prices!A2560</f>
        <v>0</v>
      </c>
      <c r="B2554" s="470" t="e">
        <f>IF('Flow Indicator Parts List'!$D$2="CDN$",_xlfn.XLOOKUP(A2554,Prices!A:A,Prices!D:D),IF('Flow Indicator Parts List'!$D$2="US$",_xlfn.XLOOKUP(CurrencyModifier!A2554,Prices!A:A,Prices!E:E,"MISSING")))</f>
        <v>#N/A</v>
      </c>
    </row>
    <row r="2555" spans="1:2">
      <c r="A2555">
        <f>Prices!A2561</f>
        <v>0</v>
      </c>
      <c r="B2555" s="470" t="e">
        <f>IF('Flow Indicator Parts List'!$D$2="CDN$",_xlfn.XLOOKUP(A2555,Prices!A:A,Prices!D:D),IF('Flow Indicator Parts List'!$D$2="US$",_xlfn.XLOOKUP(CurrencyModifier!A2555,Prices!A:A,Prices!E:E,"MISSING")))</f>
        <v>#N/A</v>
      </c>
    </row>
    <row r="2556" spans="1:2">
      <c r="A2556">
        <f>Prices!A2562</f>
        <v>0</v>
      </c>
      <c r="B2556" s="470" t="e">
        <f>IF('Flow Indicator Parts List'!$D$2="CDN$",_xlfn.XLOOKUP(A2556,Prices!A:A,Prices!D:D),IF('Flow Indicator Parts List'!$D$2="US$",_xlfn.XLOOKUP(CurrencyModifier!A2556,Prices!A:A,Prices!E:E,"MISSING")))</f>
        <v>#N/A</v>
      </c>
    </row>
    <row r="2557" spans="1:2">
      <c r="A2557">
        <f>Prices!A2563</f>
        <v>0</v>
      </c>
      <c r="B2557" s="470" t="e">
        <f>IF('Flow Indicator Parts List'!$D$2="CDN$",_xlfn.XLOOKUP(A2557,Prices!A:A,Prices!D:D),IF('Flow Indicator Parts List'!$D$2="US$",_xlfn.XLOOKUP(CurrencyModifier!A2557,Prices!A:A,Prices!E:E,"MISSING")))</f>
        <v>#N/A</v>
      </c>
    </row>
    <row r="2558" spans="1:2">
      <c r="A2558">
        <f>Prices!A2564</f>
        <v>0</v>
      </c>
      <c r="B2558" s="470" t="e">
        <f>IF('Flow Indicator Parts List'!$D$2="CDN$",_xlfn.XLOOKUP(A2558,Prices!A:A,Prices!D:D),IF('Flow Indicator Parts List'!$D$2="US$",_xlfn.XLOOKUP(CurrencyModifier!A2558,Prices!A:A,Prices!E:E,"MISSING")))</f>
        <v>#N/A</v>
      </c>
    </row>
    <row r="2559" spans="1:2">
      <c r="A2559">
        <f>Prices!A2565</f>
        <v>0</v>
      </c>
      <c r="B2559" s="470" t="e">
        <f>IF('Flow Indicator Parts List'!$D$2="CDN$",_xlfn.XLOOKUP(A2559,Prices!A:A,Prices!D:D),IF('Flow Indicator Parts List'!$D$2="US$",_xlfn.XLOOKUP(CurrencyModifier!A2559,Prices!A:A,Prices!E:E,"MISSING")))</f>
        <v>#N/A</v>
      </c>
    </row>
    <row r="2560" spans="1:2">
      <c r="A2560">
        <f>Prices!A2566</f>
        <v>0</v>
      </c>
      <c r="B2560" s="470" t="e">
        <f>IF('Flow Indicator Parts List'!$D$2="CDN$",_xlfn.XLOOKUP(A2560,Prices!A:A,Prices!D:D),IF('Flow Indicator Parts List'!$D$2="US$",_xlfn.XLOOKUP(CurrencyModifier!A2560,Prices!A:A,Prices!E:E,"MISSING")))</f>
        <v>#N/A</v>
      </c>
    </row>
    <row r="2561" spans="1:2">
      <c r="A2561">
        <f>Prices!A2567</f>
        <v>0</v>
      </c>
      <c r="B2561" s="470" t="e">
        <f>IF('Flow Indicator Parts List'!$D$2="CDN$",_xlfn.XLOOKUP(A2561,Prices!A:A,Prices!D:D),IF('Flow Indicator Parts List'!$D$2="US$",_xlfn.XLOOKUP(CurrencyModifier!A2561,Prices!A:A,Prices!E:E,"MISSING")))</f>
        <v>#N/A</v>
      </c>
    </row>
    <row r="2562" spans="1:2">
      <c r="A2562">
        <f>Prices!A2568</f>
        <v>0</v>
      </c>
      <c r="B2562" s="470" t="e">
        <f>IF('Flow Indicator Parts List'!$D$2="CDN$",_xlfn.XLOOKUP(A2562,Prices!A:A,Prices!D:D),IF('Flow Indicator Parts List'!$D$2="US$",_xlfn.XLOOKUP(CurrencyModifier!A2562,Prices!A:A,Prices!E:E,"MISSING")))</f>
        <v>#N/A</v>
      </c>
    </row>
    <row r="2563" spans="1:2">
      <c r="A2563">
        <f>Prices!A2569</f>
        <v>0</v>
      </c>
      <c r="B2563" s="470" t="e">
        <f>IF('Flow Indicator Parts List'!$D$2="CDN$",_xlfn.XLOOKUP(A2563,Prices!A:A,Prices!D:D),IF('Flow Indicator Parts List'!$D$2="US$",_xlfn.XLOOKUP(CurrencyModifier!A2563,Prices!A:A,Prices!E:E,"MISSING")))</f>
        <v>#N/A</v>
      </c>
    </row>
    <row r="2564" spans="1:2">
      <c r="A2564">
        <f>Prices!A2570</f>
        <v>0</v>
      </c>
      <c r="B2564" s="470" t="e">
        <f>IF('Flow Indicator Parts List'!$D$2="CDN$",_xlfn.XLOOKUP(A2564,Prices!A:A,Prices!D:D),IF('Flow Indicator Parts List'!$D$2="US$",_xlfn.XLOOKUP(CurrencyModifier!A2564,Prices!A:A,Prices!E:E,"MISSING")))</f>
        <v>#N/A</v>
      </c>
    </row>
    <row r="2565" spans="1:2">
      <c r="A2565">
        <f>Prices!A2571</f>
        <v>0</v>
      </c>
      <c r="B2565" s="470" t="e">
        <f>IF('Flow Indicator Parts List'!$D$2="CDN$",_xlfn.XLOOKUP(A2565,Prices!A:A,Prices!D:D),IF('Flow Indicator Parts List'!$D$2="US$",_xlfn.XLOOKUP(CurrencyModifier!A2565,Prices!A:A,Prices!E:E,"MISSING")))</f>
        <v>#N/A</v>
      </c>
    </row>
    <row r="2566" spans="1:2">
      <c r="A2566">
        <f>Prices!A2572</f>
        <v>0</v>
      </c>
      <c r="B2566" s="470" t="e">
        <f>IF('Flow Indicator Parts List'!$D$2="CDN$",_xlfn.XLOOKUP(A2566,Prices!A:A,Prices!D:D),IF('Flow Indicator Parts List'!$D$2="US$",_xlfn.XLOOKUP(CurrencyModifier!A2566,Prices!A:A,Prices!E:E,"MISSING")))</f>
        <v>#N/A</v>
      </c>
    </row>
    <row r="2567" spans="1:2">
      <c r="A2567">
        <f>Prices!A2573</f>
        <v>0</v>
      </c>
      <c r="B2567" s="470" t="e">
        <f>IF('Flow Indicator Parts List'!$D$2="CDN$",_xlfn.XLOOKUP(A2567,Prices!A:A,Prices!D:D),IF('Flow Indicator Parts List'!$D$2="US$",_xlfn.XLOOKUP(CurrencyModifier!A2567,Prices!A:A,Prices!E:E,"MISSING")))</f>
        <v>#N/A</v>
      </c>
    </row>
    <row r="2568" spans="1:2">
      <c r="A2568">
        <f>Prices!A2574</f>
        <v>0</v>
      </c>
      <c r="B2568" s="470" t="e">
        <f>IF('Flow Indicator Parts List'!$D$2="CDN$",_xlfn.XLOOKUP(A2568,Prices!A:A,Prices!D:D),IF('Flow Indicator Parts List'!$D$2="US$",_xlfn.XLOOKUP(CurrencyModifier!A2568,Prices!A:A,Prices!E:E,"MISSING")))</f>
        <v>#N/A</v>
      </c>
    </row>
    <row r="2569" spans="1:2">
      <c r="A2569">
        <f>Prices!A2575</f>
        <v>0</v>
      </c>
      <c r="B2569" s="470" t="e">
        <f>IF('Flow Indicator Parts List'!$D$2="CDN$",_xlfn.XLOOKUP(A2569,Prices!A:A,Prices!D:D),IF('Flow Indicator Parts List'!$D$2="US$",_xlfn.XLOOKUP(CurrencyModifier!A2569,Prices!A:A,Prices!E:E,"MISSING")))</f>
        <v>#N/A</v>
      </c>
    </row>
    <row r="2570" spans="1:2">
      <c r="A2570">
        <f>Prices!A2576</f>
        <v>0</v>
      </c>
      <c r="B2570" s="470" t="e">
        <f>IF('Flow Indicator Parts List'!$D$2="CDN$",_xlfn.XLOOKUP(A2570,Prices!A:A,Prices!D:D),IF('Flow Indicator Parts List'!$D$2="US$",_xlfn.XLOOKUP(CurrencyModifier!A2570,Prices!A:A,Prices!E:E,"MISSING")))</f>
        <v>#N/A</v>
      </c>
    </row>
    <row r="2571" spans="1:2">
      <c r="A2571">
        <f>Prices!A2577</f>
        <v>0</v>
      </c>
      <c r="B2571" s="470" t="e">
        <f>IF('Flow Indicator Parts List'!$D$2="CDN$",_xlfn.XLOOKUP(A2571,Prices!A:A,Prices!D:D),IF('Flow Indicator Parts List'!$D$2="US$",_xlfn.XLOOKUP(CurrencyModifier!A2571,Prices!A:A,Prices!E:E,"MISSING")))</f>
        <v>#N/A</v>
      </c>
    </row>
    <row r="2572" spans="1:2">
      <c r="A2572">
        <f>Prices!A2578</f>
        <v>0</v>
      </c>
      <c r="B2572" s="470" t="e">
        <f>IF('Flow Indicator Parts List'!$D$2="CDN$",_xlfn.XLOOKUP(A2572,Prices!A:A,Prices!D:D),IF('Flow Indicator Parts List'!$D$2="US$",_xlfn.XLOOKUP(CurrencyModifier!A2572,Prices!A:A,Prices!E:E,"MISSING")))</f>
        <v>#N/A</v>
      </c>
    </row>
    <row r="2573" spans="1:2">
      <c r="A2573">
        <f>Prices!A2579</f>
        <v>0</v>
      </c>
      <c r="B2573" s="470" t="e">
        <f>IF('Flow Indicator Parts List'!$D$2="CDN$",_xlfn.XLOOKUP(A2573,Prices!A:A,Prices!D:D),IF('Flow Indicator Parts List'!$D$2="US$",_xlfn.XLOOKUP(CurrencyModifier!A2573,Prices!A:A,Prices!E:E,"MISSING")))</f>
        <v>#N/A</v>
      </c>
    </row>
    <row r="2574" spans="1:2">
      <c r="A2574">
        <f>Prices!A2580</f>
        <v>0</v>
      </c>
      <c r="B2574" s="470" t="e">
        <f>IF('Flow Indicator Parts List'!$D$2="CDN$",_xlfn.XLOOKUP(A2574,Prices!A:A,Prices!D:D),IF('Flow Indicator Parts List'!$D$2="US$",_xlfn.XLOOKUP(CurrencyModifier!A2574,Prices!A:A,Prices!E:E,"MISSING")))</f>
        <v>#N/A</v>
      </c>
    </row>
    <row r="2575" spans="1:2">
      <c r="A2575">
        <f>Prices!A2581</f>
        <v>0</v>
      </c>
      <c r="B2575" s="470" t="e">
        <f>IF('Flow Indicator Parts List'!$D$2="CDN$",_xlfn.XLOOKUP(A2575,Prices!A:A,Prices!D:D),IF('Flow Indicator Parts List'!$D$2="US$",_xlfn.XLOOKUP(CurrencyModifier!A2575,Prices!A:A,Prices!E:E,"MISSING")))</f>
        <v>#N/A</v>
      </c>
    </row>
    <row r="2576" spans="1:2">
      <c r="A2576">
        <f>Prices!A2582</f>
        <v>0</v>
      </c>
      <c r="B2576" s="470" t="e">
        <f>IF('Flow Indicator Parts List'!$D$2="CDN$",_xlfn.XLOOKUP(A2576,Prices!A:A,Prices!D:D),IF('Flow Indicator Parts List'!$D$2="US$",_xlfn.XLOOKUP(CurrencyModifier!A2576,Prices!A:A,Prices!E:E,"MISSING")))</f>
        <v>#N/A</v>
      </c>
    </row>
    <row r="2577" spans="1:2">
      <c r="A2577">
        <f>Prices!A2583</f>
        <v>0</v>
      </c>
      <c r="B2577" s="470" t="e">
        <f>IF('Flow Indicator Parts List'!$D$2="CDN$",_xlfn.XLOOKUP(A2577,Prices!A:A,Prices!D:D),IF('Flow Indicator Parts List'!$D$2="US$",_xlfn.XLOOKUP(CurrencyModifier!A2577,Prices!A:A,Prices!E:E,"MISSING")))</f>
        <v>#N/A</v>
      </c>
    </row>
    <row r="2578" spans="1:2">
      <c r="A2578">
        <f>Prices!A2584</f>
        <v>0</v>
      </c>
      <c r="B2578" s="470" t="e">
        <f>IF('Flow Indicator Parts List'!$D$2="CDN$",_xlfn.XLOOKUP(A2578,Prices!A:A,Prices!D:D),IF('Flow Indicator Parts List'!$D$2="US$",_xlfn.XLOOKUP(CurrencyModifier!A2578,Prices!A:A,Prices!E:E,"MISSING")))</f>
        <v>#N/A</v>
      </c>
    </row>
    <row r="2579" spans="1:2">
      <c r="A2579">
        <f>Prices!A2585</f>
        <v>0</v>
      </c>
      <c r="B2579" s="470" t="e">
        <f>IF('Flow Indicator Parts List'!$D$2="CDN$",_xlfn.XLOOKUP(A2579,Prices!A:A,Prices!D:D),IF('Flow Indicator Parts List'!$D$2="US$",_xlfn.XLOOKUP(CurrencyModifier!A2579,Prices!A:A,Prices!E:E,"MISSING")))</f>
        <v>#N/A</v>
      </c>
    </row>
    <row r="2580" spans="1:2">
      <c r="A2580">
        <f>Prices!A2586</f>
        <v>0</v>
      </c>
      <c r="B2580" s="470" t="e">
        <f>IF('Flow Indicator Parts List'!$D$2="CDN$",_xlfn.XLOOKUP(A2580,Prices!A:A,Prices!D:D),IF('Flow Indicator Parts List'!$D$2="US$",_xlfn.XLOOKUP(CurrencyModifier!A2580,Prices!A:A,Prices!E:E,"MISSING")))</f>
        <v>#N/A</v>
      </c>
    </row>
    <row r="2581" spans="1:2">
      <c r="A2581">
        <f>Prices!A2587</f>
        <v>0</v>
      </c>
      <c r="B2581" s="470" t="e">
        <f>IF('Flow Indicator Parts List'!$D$2="CDN$",_xlfn.XLOOKUP(A2581,Prices!A:A,Prices!D:D),IF('Flow Indicator Parts List'!$D$2="US$",_xlfn.XLOOKUP(CurrencyModifier!A2581,Prices!A:A,Prices!E:E,"MISSING")))</f>
        <v>#N/A</v>
      </c>
    </row>
    <row r="2582" spans="1:2">
      <c r="A2582">
        <f>Prices!A2588</f>
        <v>0</v>
      </c>
      <c r="B2582" s="470" t="e">
        <f>IF('Flow Indicator Parts List'!$D$2="CDN$",_xlfn.XLOOKUP(A2582,Prices!A:A,Prices!D:D),IF('Flow Indicator Parts List'!$D$2="US$",_xlfn.XLOOKUP(CurrencyModifier!A2582,Prices!A:A,Prices!E:E,"MISSING")))</f>
        <v>#N/A</v>
      </c>
    </row>
    <row r="2583" spans="1:2">
      <c r="A2583">
        <f>Prices!A2589</f>
        <v>0</v>
      </c>
      <c r="B2583" s="470" t="e">
        <f>IF('Flow Indicator Parts List'!$D$2="CDN$",_xlfn.XLOOKUP(A2583,Prices!A:A,Prices!D:D),IF('Flow Indicator Parts List'!$D$2="US$",_xlfn.XLOOKUP(CurrencyModifier!A2583,Prices!A:A,Prices!E:E,"MISSING")))</f>
        <v>#N/A</v>
      </c>
    </row>
    <row r="2584" spans="1:2">
      <c r="A2584">
        <f>Prices!A2590</f>
        <v>0</v>
      </c>
      <c r="B2584" s="470" t="e">
        <f>IF('Flow Indicator Parts List'!$D$2="CDN$",_xlfn.XLOOKUP(A2584,Prices!A:A,Prices!D:D),IF('Flow Indicator Parts List'!$D$2="US$",_xlfn.XLOOKUP(CurrencyModifier!A2584,Prices!A:A,Prices!E:E,"MISSING")))</f>
        <v>#N/A</v>
      </c>
    </row>
    <row r="2585" spans="1:2">
      <c r="A2585">
        <f>Prices!A2591</f>
        <v>0</v>
      </c>
      <c r="B2585" s="470" t="e">
        <f>IF('Flow Indicator Parts List'!$D$2="CDN$",_xlfn.XLOOKUP(A2585,Prices!A:A,Prices!D:D),IF('Flow Indicator Parts List'!$D$2="US$",_xlfn.XLOOKUP(CurrencyModifier!A2585,Prices!A:A,Prices!E:E,"MISSING")))</f>
        <v>#N/A</v>
      </c>
    </row>
    <row r="2586" spans="1:2">
      <c r="A2586">
        <f>Prices!A2592</f>
        <v>0</v>
      </c>
      <c r="B2586" s="470" t="e">
        <f>IF('Flow Indicator Parts List'!$D$2="CDN$",_xlfn.XLOOKUP(A2586,Prices!A:A,Prices!D:D),IF('Flow Indicator Parts List'!$D$2="US$",_xlfn.XLOOKUP(CurrencyModifier!A2586,Prices!A:A,Prices!E:E,"MISSING")))</f>
        <v>#N/A</v>
      </c>
    </row>
    <row r="2587" spans="1:2">
      <c r="A2587">
        <f>Prices!A2593</f>
        <v>0</v>
      </c>
      <c r="B2587" s="470" t="e">
        <f>IF('Flow Indicator Parts List'!$D$2="CDN$",_xlfn.XLOOKUP(A2587,Prices!A:A,Prices!D:D),IF('Flow Indicator Parts List'!$D$2="US$",_xlfn.XLOOKUP(CurrencyModifier!A2587,Prices!A:A,Prices!E:E,"MISSING")))</f>
        <v>#N/A</v>
      </c>
    </row>
    <row r="2588" spans="1:2">
      <c r="A2588">
        <f>Prices!A2594</f>
        <v>0</v>
      </c>
      <c r="B2588" s="470" t="e">
        <f>IF('Flow Indicator Parts List'!$D$2="CDN$",_xlfn.XLOOKUP(A2588,Prices!A:A,Prices!D:D),IF('Flow Indicator Parts List'!$D$2="US$",_xlfn.XLOOKUP(CurrencyModifier!A2588,Prices!A:A,Prices!E:E,"MISSING")))</f>
        <v>#N/A</v>
      </c>
    </row>
    <row r="2589" spans="1:2">
      <c r="A2589">
        <f>Prices!A2595</f>
        <v>0</v>
      </c>
      <c r="B2589" s="470" t="e">
        <f>IF('Flow Indicator Parts List'!$D$2="CDN$",_xlfn.XLOOKUP(A2589,Prices!A:A,Prices!D:D),IF('Flow Indicator Parts List'!$D$2="US$",_xlfn.XLOOKUP(CurrencyModifier!A2589,Prices!A:A,Prices!E:E,"MISSING")))</f>
        <v>#N/A</v>
      </c>
    </row>
    <row r="2590" spans="1:2">
      <c r="A2590">
        <f>Prices!A2596</f>
        <v>0</v>
      </c>
      <c r="B2590" s="470" t="e">
        <f>IF('Flow Indicator Parts List'!$D$2="CDN$",_xlfn.XLOOKUP(A2590,Prices!A:A,Prices!D:D),IF('Flow Indicator Parts List'!$D$2="US$",_xlfn.XLOOKUP(CurrencyModifier!A2590,Prices!A:A,Prices!E:E,"MISSING")))</f>
        <v>#N/A</v>
      </c>
    </row>
    <row r="2591" spans="1:2">
      <c r="A2591">
        <f>Prices!A2597</f>
        <v>0</v>
      </c>
      <c r="B2591" s="470" t="e">
        <f>IF('Flow Indicator Parts List'!$D$2="CDN$",_xlfn.XLOOKUP(A2591,Prices!A:A,Prices!D:D),IF('Flow Indicator Parts List'!$D$2="US$",_xlfn.XLOOKUP(CurrencyModifier!A2591,Prices!A:A,Prices!E:E,"MISSING")))</f>
        <v>#N/A</v>
      </c>
    </row>
    <row r="2592" spans="1:2">
      <c r="A2592">
        <f>Prices!A2598</f>
        <v>0</v>
      </c>
      <c r="B2592" s="470" t="e">
        <f>IF('Flow Indicator Parts List'!$D$2="CDN$",_xlfn.XLOOKUP(A2592,Prices!A:A,Prices!D:D),IF('Flow Indicator Parts List'!$D$2="US$",_xlfn.XLOOKUP(CurrencyModifier!A2592,Prices!A:A,Prices!E:E,"MISSING")))</f>
        <v>#N/A</v>
      </c>
    </row>
    <row r="2593" spans="1:2">
      <c r="A2593">
        <f>Prices!A2599</f>
        <v>0</v>
      </c>
      <c r="B2593" s="470" t="e">
        <f>IF('Flow Indicator Parts List'!$D$2="CDN$",_xlfn.XLOOKUP(A2593,Prices!A:A,Prices!D:D),IF('Flow Indicator Parts List'!$D$2="US$",_xlfn.XLOOKUP(CurrencyModifier!A2593,Prices!A:A,Prices!E:E,"MISSING")))</f>
        <v>#N/A</v>
      </c>
    </row>
    <row r="2594" spans="1:2">
      <c r="A2594">
        <f>Prices!A2600</f>
        <v>0</v>
      </c>
      <c r="B2594" s="470" t="e">
        <f>IF('Flow Indicator Parts List'!$D$2="CDN$",_xlfn.XLOOKUP(A2594,Prices!A:A,Prices!D:D),IF('Flow Indicator Parts List'!$D$2="US$",_xlfn.XLOOKUP(CurrencyModifier!A2594,Prices!A:A,Prices!E:E,"MISSING")))</f>
        <v>#N/A</v>
      </c>
    </row>
    <row r="2595" spans="1:2">
      <c r="A2595">
        <f>Prices!A2601</f>
        <v>0</v>
      </c>
      <c r="B2595" s="470" t="e">
        <f>IF('Flow Indicator Parts List'!$D$2="CDN$",_xlfn.XLOOKUP(A2595,Prices!A:A,Prices!D:D),IF('Flow Indicator Parts List'!$D$2="US$",_xlfn.XLOOKUP(CurrencyModifier!A2595,Prices!A:A,Prices!E:E,"MISSING")))</f>
        <v>#N/A</v>
      </c>
    </row>
    <row r="2596" spans="1:2">
      <c r="A2596">
        <f>Prices!A2602</f>
        <v>0</v>
      </c>
      <c r="B2596" s="470" t="e">
        <f>IF('Flow Indicator Parts List'!$D$2="CDN$",_xlfn.XLOOKUP(A2596,Prices!A:A,Prices!D:D),IF('Flow Indicator Parts List'!$D$2="US$",_xlfn.XLOOKUP(CurrencyModifier!A2596,Prices!A:A,Prices!E:E,"MISSING")))</f>
        <v>#N/A</v>
      </c>
    </row>
    <row r="2597" spans="1:2">
      <c r="A2597">
        <f>Prices!A2603</f>
        <v>0</v>
      </c>
      <c r="B2597" s="470" t="e">
        <f>IF('Flow Indicator Parts List'!$D$2="CDN$",_xlfn.XLOOKUP(A2597,Prices!A:A,Prices!D:D),IF('Flow Indicator Parts List'!$D$2="US$",_xlfn.XLOOKUP(CurrencyModifier!A2597,Prices!A:A,Prices!E:E,"MISSING")))</f>
        <v>#N/A</v>
      </c>
    </row>
    <row r="2598" spans="1:2">
      <c r="A2598">
        <f>Prices!A2604</f>
        <v>0</v>
      </c>
      <c r="B2598" s="470" t="e">
        <f>IF('Flow Indicator Parts List'!$D$2="CDN$",_xlfn.XLOOKUP(A2598,Prices!A:A,Prices!D:D),IF('Flow Indicator Parts List'!$D$2="US$",_xlfn.XLOOKUP(CurrencyModifier!A2598,Prices!A:A,Prices!E:E,"MISSING")))</f>
        <v>#N/A</v>
      </c>
    </row>
    <row r="2599" spans="1:2">
      <c r="A2599">
        <f>Prices!A2605</f>
        <v>0</v>
      </c>
      <c r="B2599" s="470" t="e">
        <f>IF('Flow Indicator Parts List'!$D$2="CDN$",_xlfn.XLOOKUP(A2599,Prices!A:A,Prices!D:D),IF('Flow Indicator Parts List'!$D$2="US$",_xlfn.XLOOKUP(CurrencyModifier!A2599,Prices!A:A,Prices!E:E,"MISSING")))</f>
        <v>#N/A</v>
      </c>
    </row>
    <row r="2600" spans="1:2">
      <c r="A2600">
        <f>Prices!A2606</f>
        <v>0</v>
      </c>
      <c r="B2600" s="470" t="e">
        <f>IF('Flow Indicator Parts List'!$D$2="CDN$",_xlfn.XLOOKUP(A2600,Prices!A:A,Prices!D:D),IF('Flow Indicator Parts List'!$D$2="US$",_xlfn.XLOOKUP(CurrencyModifier!A2600,Prices!A:A,Prices!E:E,"MISSING")))</f>
        <v>#N/A</v>
      </c>
    </row>
    <row r="2601" spans="1:2">
      <c r="A2601">
        <f>Prices!A2607</f>
        <v>0</v>
      </c>
      <c r="B2601" s="470" t="e">
        <f>IF('Flow Indicator Parts List'!$D$2="CDN$",_xlfn.XLOOKUP(A2601,Prices!A:A,Prices!D:D),IF('Flow Indicator Parts List'!$D$2="US$",_xlfn.XLOOKUP(CurrencyModifier!A2601,Prices!A:A,Prices!E:E,"MISSING")))</f>
        <v>#N/A</v>
      </c>
    </row>
    <row r="2602" spans="1:2">
      <c r="A2602">
        <f>Prices!A2608</f>
        <v>0</v>
      </c>
      <c r="B2602" s="470" t="e">
        <f>IF('Flow Indicator Parts List'!$D$2="CDN$",_xlfn.XLOOKUP(A2602,Prices!A:A,Prices!D:D),IF('Flow Indicator Parts List'!$D$2="US$",_xlfn.XLOOKUP(CurrencyModifier!A2602,Prices!A:A,Prices!E:E,"MISSING")))</f>
        <v>#N/A</v>
      </c>
    </row>
    <row r="2603" spans="1:2">
      <c r="A2603">
        <f>Prices!A2609</f>
        <v>0</v>
      </c>
      <c r="B2603" s="470" t="e">
        <f>IF('Flow Indicator Parts List'!$D$2="CDN$",_xlfn.XLOOKUP(A2603,Prices!A:A,Prices!D:D),IF('Flow Indicator Parts List'!$D$2="US$",_xlfn.XLOOKUP(CurrencyModifier!A2603,Prices!A:A,Prices!E:E,"MISSING")))</f>
        <v>#N/A</v>
      </c>
    </row>
    <row r="2604" spans="1:2">
      <c r="A2604">
        <f>Prices!A2610</f>
        <v>0</v>
      </c>
      <c r="B2604" s="470" t="e">
        <f>IF('Flow Indicator Parts List'!$D$2="CDN$",_xlfn.XLOOKUP(A2604,Prices!A:A,Prices!D:D),IF('Flow Indicator Parts List'!$D$2="US$",_xlfn.XLOOKUP(CurrencyModifier!A2604,Prices!A:A,Prices!E:E,"MISSING")))</f>
        <v>#N/A</v>
      </c>
    </row>
    <row r="2605" spans="1:2">
      <c r="A2605">
        <f>Prices!A2611</f>
        <v>0</v>
      </c>
      <c r="B2605" s="470" t="e">
        <f>IF('Flow Indicator Parts List'!$D$2="CDN$",_xlfn.XLOOKUP(A2605,Prices!A:A,Prices!D:D),IF('Flow Indicator Parts List'!$D$2="US$",_xlfn.XLOOKUP(CurrencyModifier!A2605,Prices!A:A,Prices!E:E,"MISSING")))</f>
        <v>#N/A</v>
      </c>
    </row>
    <row r="2606" spans="1:2">
      <c r="A2606">
        <f>Prices!A2612</f>
        <v>0</v>
      </c>
      <c r="B2606" s="470" t="e">
        <f>IF('Flow Indicator Parts List'!$D$2="CDN$",_xlfn.XLOOKUP(A2606,Prices!A:A,Prices!D:D),IF('Flow Indicator Parts List'!$D$2="US$",_xlfn.XLOOKUP(CurrencyModifier!A2606,Prices!A:A,Prices!E:E,"MISSING")))</f>
        <v>#N/A</v>
      </c>
    </row>
    <row r="2607" spans="1:2">
      <c r="A2607">
        <f>Prices!A2613</f>
        <v>0</v>
      </c>
      <c r="B2607" s="470" t="e">
        <f>IF('Flow Indicator Parts List'!$D$2="CDN$",_xlfn.XLOOKUP(A2607,Prices!A:A,Prices!D:D),IF('Flow Indicator Parts List'!$D$2="US$",_xlfn.XLOOKUP(CurrencyModifier!A2607,Prices!A:A,Prices!E:E,"MISSING")))</f>
        <v>#N/A</v>
      </c>
    </row>
    <row r="2608" spans="1:2">
      <c r="A2608">
        <f>Prices!A2614</f>
        <v>0</v>
      </c>
      <c r="B2608" s="470" t="e">
        <f>IF('Flow Indicator Parts List'!$D$2="CDN$",_xlfn.XLOOKUP(A2608,Prices!A:A,Prices!D:D),IF('Flow Indicator Parts List'!$D$2="US$",_xlfn.XLOOKUP(CurrencyModifier!A2608,Prices!A:A,Prices!E:E,"MISSING")))</f>
        <v>#N/A</v>
      </c>
    </row>
    <row r="2609" spans="1:2">
      <c r="A2609">
        <f>Prices!A2615</f>
        <v>0</v>
      </c>
      <c r="B2609" s="470" t="e">
        <f>IF('Flow Indicator Parts List'!$D$2="CDN$",_xlfn.XLOOKUP(A2609,Prices!A:A,Prices!D:D),IF('Flow Indicator Parts List'!$D$2="US$",_xlfn.XLOOKUP(CurrencyModifier!A2609,Prices!A:A,Prices!E:E,"MISSING")))</f>
        <v>#N/A</v>
      </c>
    </row>
    <row r="2610" spans="1:2">
      <c r="A2610">
        <f>Prices!A2616</f>
        <v>0</v>
      </c>
      <c r="B2610" s="470" t="e">
        <f>IF('Flow Indicator Parts List'!$D$2="CDN$",_xlfn.XLOOKUP(A2610,Prices!A:A,Prices!D:D),IF('Flow Indicator Parts List'!$D$2="US$",_xlfn.XLOOKUP(CurrencyModifier!A2610,Prices!A:A,Prices!E:E,"MISSING")))</f>
        <v>#N/A</v>
      </c>
    </row>
    <row r="2611" spans="1:2">
      <c r="A2611">
        <f>Prices!A2617</f>
        <v>0</v>
      </c>
      <c r="B2611" s="470" t="e">
        <f>IF('Flow Indicator Parts List'!$D$2="CDN$",_xlfn.XLOOKUP(A2611,Prices!A:A,Prices!D:D),IF('Flow Indicator Parts List'!$D$2="US$",_xlfn.XLOOKUP(CurrencyModifier!A2611,Prices!A:A,Prices!E:E,"MISSING")))</f>
        <v>#N/A</v>
      </c>
    </row>
    <row r="2612" spans="1:2">
      <c r="A2612">
        <f>Prices!A2618</f>
        <v>0</v>
      </c>
      <c r="B2612" s="470" t="e">
        <f>IF('Flow Indicator Parts List'!$D$2="CDN$",_xlfn.XLOOKUP(A2612,Prices!A:A,Prices!D:D),IF('Flow Indicator Parts List'!$D$2="US$",_xlfn.XLOOKUP(CurrencyModifier!A2612,Prices!A:A,Prices!E:E,"MISSING")))</f>
        <v>#N/A</v>
      </c>
    </row>
    <row r="2613" spans="1:2">
      <c r="A2613">
        <f>Prices!A2619</f>
        <v>0</v>
      </c>
      <c r="B2613" s="470" t="e">
        <f>IF('Flow Indicator Parts List'!$D$2="CDN$",_xlfn.XLOOKUP(A2613,Prices!A:A,Prices!D:D),IF('Flow Indicator Parts List'!$D$2="US$",_xlfn.XLOOKUP(CurrencyModifier!A2613,Prices!A:A,Prices!E:E,"MISSING")))</f>
        <v>#N/A</v>
      </c>
    </row>
    <row r="2614" spans="1:2">
      <c r="A2614">
        <f>Prices!A2620</f>
        <v>0</v>
      </c>
      <c r="B2614" s="470" t="e">
        <f>IF('Flow Indicator Parts List'!$D$2="CDN$",_xlfn.XLOOKUP(A2614,Prices!A:A,Prices!D:D),IF('Flow Indicator Parts List'!$D$2="US$",_xlfn.XLOOKUP(CurrencyModifier!A2614,Prices!A:A,Prices!E:E,"MISSING")))</f>
        <v>#N/A</v>
      </c>
    </row>
    <row r="2615" spans="1:2">
      <c r="A2615">
        <f>Prices!A2621</f>
        <v>0</v>
      </c>
      <c r="B2615" s="470" t="e">
        <f>IF('Flow Indicator Parts List'!$D$2="CDN$",_xlfn.XLOOKUP(A2615,Prices!A:A,Prices!D:D),IF('Flow Indicator Parts List'!$D$2="US$",_xlfn.XLOOKUP(CurrencyModifier!A2615,Prices!A:A,Prices!E:E,"MISSING")))</f>
        <v>#N/A</v>
      </c>
    </row>
    <row r="2616" spans="1:2">
      <c r="A2616">
        <f>Prices!A2622</f>
        <v>0</v>
      </c>
      <c r="B2616" s="470" t="e">
        <f>IF('Flow Indicator Parts List'!$D$2="CDN$",_xlfn.XLOOKUP(A2616,Prices!A:A,Prices!D:D),IF('Flow Indicator Parts List'!$D$2="US$",_xlfn.XLOOKUP(CurrencyModifier!A2616,Prices!A:A,Prices!E:E,"MISSING")))</f>
        <v>#N/A</v>
      </c>
    </row>
    <row r="2617" spans="1:2">
      <c r="A2617">
        <f>Prices!A2623</f>
        <v>0</v>
      </c>
      <c r="B2617" s="470" t="e">
        <f>IF('Flow Indicator Parts List'!$D$2="CDN$",_xlfn.XLOOKUP(A2617,Prices!A:A,Prices!D:D),IF('Flow Indicator Parts List'!$D$2="US$",_xlfn.XLOOKUP(CurrencyModifier!A2617,Prices!A:A,Prices!E:E,"MISSING")))</f>
        <v>#N/A</v>
      </c>
    </row>
    <row r="2618" spans="1:2">
      <c r="A2618">
        <f>Prices!A2624</f>
        <v>0</v>
      </c>
      <c r="B2618" s="470" t="e">
        <f>IF('Flow Indicator Parts List'!$D$2="CDN$",_xlfn.XLOOKUP(A2618,Prices!A:A,Prices!D:D),IF('Flow Indicator Parts List'!$D$2="US$",_xlfn.XLOOKUP(CurrencyModifier!A2618,Prices!A:A,Prices!E:E,"MISSING")))</f>
        <v>#N/A</v>
      </c>
    </row>
    <row r="2619" spans="1:2">
      <c r="A2619">
        <f>Prices!A2625</f>
        <v>0</v>
      </c>
      <c r="B2619" s="470" t="e">
        <f>IF('Flow Indicator Parts List'!$D$2="CDN$",_xlfn.XLOOKUP(A2619,Prices!A:A,Prices!D:D),IF('Flow Indicator Parts List'!$D$2="US$",_xlfn.XLOOKUP(CurrencyModifier!A2619,Prices!A:A,Prices!E:E,"MISSING")))</f>
        <v>#N/A</v>
      </c>
    </row>
    <row r="2620" spans="1:2">
      <c r="A2620">
        <f>Prices!A2626</f>
        <v>0</v>
      </c>
      <c r="B2620" s="470" t="e">
        <f>IF('Flow Indicator Parts List'!$D$2="CDN$",_xlfn.XLOOKUP(A2620,Prices!A:A,Prices!D:D),IF('Flow Indicator Parts List'!$D$2="US$",_xlfn.XLOOKUP(CurrencyModifier!A2620,Prices!A:A,Prices!E:E,"MISSING")))</f>
        <v>#N/A</v>
      </c>
    </row>
    <row r="2621" spans="1:2">
      <c r="A2621">
        <f>Prices!A2627</f>
        <v>0</v>
      </c>
      <c r="B2621" s="470" t="e">
        <f>IF('Flow Indicator Parts List'!$D$2="CDN$",_xlfn.XLOOKUP(A2621,Prices!A:A,Prices!D:D),IF('Flow Indicator Parts List'!$D$2="US$",_xlfn.XLOOKUP(CurrencyModifier!A2621,Prices!A:A,Prices!E:E,"MISSING")))</f>
        <v>#N/A</v>
      </c>
    </row>
    <row r="2622" spans="1:2">
      <c r="A2622">
        <f>Prices!A2628</f>
        <v>0</v>
      </c>
      <c r="B2622" s="470" t="e">
        <f>IF('Flow Indicator Parts List'!$D$2="CDN$",_xlfn.XLOOKUP(A2622,Prices!A:A,Prices!D:D),IF('Flow Indicator Parts List'!$D$2="US$",_xlfn.XLOOKUP(CurrencyModifier!A2622,Prices!A:A,Prices!E:E,"MISSING")))</f>
        <v>#N/A</v>
      </c>
    </row>
    <row r="2623" spans="1:2">
      <c r="A2623">
        <f>Prices!A2629</f>
        <v>0</v>
      </c>
      <c r="B2623" s="470" t="e">
        <f>IF('Flow Indicator Parts List'!$D$2="CDN$",_xlfn.XLOOKUP(A2623,Prices!A:A,Prices!D:D),IF('Flow Indicator Parts List'!$D$2="US$",_xlfn.XLOOKUP(CurrencyModifier!A2623,Prices!A:A,Prices!E:E,"MISSING")))</f>
        <v>#N/A</v>
      </c>
    </row>
    <row r="2624" spans="1:2">
      <c r="A2624">
        <f>Prices!A2630</f>
        <v>0</v>
      </c>
      <c r="B2624" s="470" t="e">
        <f>IF('Flow Indicator Parts List'!$D$2="CDN$",_xlfn.XLOOKUP(A2624,Prices!A:A,Prices!D:D),IF('Flow Indicator Parts List'!$D$2="US$",_xlfn.XLOOKUP(CurrencyModifier!A2624,Prices!A:A,Prices!E:E,"MISSING")))</f>
        <v>#N/A</v>
      </c>
    </row>
    <row r="2625" spans="1:2">
      <c r="A2625">
        <f>Prices!A2631</f>
        <v>0</v>
      </c>
      <c r="B2625" s="470" t="e">
        <f>IF('Flow Indicator Parts List'!$D$2="CDN$",_xlfn.XLOOKUP(A2625,Prices!A:A,Prices!D:D),IF('Flow Indicator Parts List'!$D$2="US$",_xlfn.XLOOKUP(CurrencyModifier!A2625,Prices!A:A,Prices!E:E,"MISSING")))</f>
        <v>#N/A</v>
      </c>
    </row>
    <row r="2626" spans="1:2">
      <c r="A2626">
        <f>Prices!A2632</f>
        <v>0</v>
      </c>
      <c r="B2626" s="470" t="e">
        <f>IF('Flow Indicator Parts List'!$D$2="CDN$",_xlfn.XLOOKUP(A2626,Prices!A:A,Prices!D:D),IF('Flow Indicator Parts List'!$D$2="US$",_xlfn.XLOOKUP(CurrencyModifier!A2626,Prices!A:A,Prices!E:E,"MISSING")))</f>
        <v>#N/A</v>
      </c>
    </row>
    <row r="2627" spans="1:2">
      <c r="A2627">
        <f>Prices!A2633</f>
        <v>0</v>
      </c>
      <c r="B2627" s="470" t="e">
        <f>IF('Flow Indicator Parts List'!$D$2="CDN$",_xlfn.XLOOKUP(A2627,Prices!A:A,Prices!D:D),IF('Flow Indicator Parts List'!$D$2="US$",_xlfn.XLOOKUP(CurrencyModifier!A2627,Prices!A:A,Prices!E:E,"MISSING")))</f>
        <v>#N/A</v>
      </c>
    </row>
    <row r="2628" spans="1:2">
      <c r="A2628">
        <f>Prices!A2634</f>
        <v>0</v>
      </c>
      <c r="B2628" s="470" t="e">
        <f>IF('Flow Indicator Parts List'!$D$2="CDN$",_xlfn.XLOOKUP(A2628,Prices!A:A,Prices!D:D),IF('Flow Indicator Parts List'!$D$2="US$",_xlfn.XLOOKUP(CurrencyModifier!A2628,Prices!A:A,Prices!E:E,"MISSING")))</f>
        <v>#N/A</v>
      </c>
    </row>
    <row r="2629" spans="1:2">
      <c r="A2629">
        <f>Prices!A2635</f>
        <v>0</v>
      </c>
      <c r="B2629" s="470" t="e">
        <f>IF('Flow Indicator Parts List'!$D$2="CDN$",_xlfn.XLOOKUP(A2629,Prices!A:A,Prices!D:D),IF('Flow Indicator Parts List'!$D$2="US$",_xlfn.XLOOKUP(CurrencyModifier!A2629,Prices!A:A,Prices!E:E,"MISSING")))</f>
        <v>#N/A</v>
      </c>
    </row>
    <row r="2630" spans="1:2">
      <c r="A2630">
        <f>Prices!A2636</f>
        <v>0</v>
      </c>
      <c r="B2630" s="470" t="e">
        <f>IF('Flow Indicator Parts List'!$D$2="CDN$",_xlfn.XLOOKUP(A2630,Prices!A:A,Prices!D:D),IF('Flow Indicator Parts List'!$D$2="US$",_xlfn.XLOOKUP(CurrencyModifier!A2630,Prices!A:A,Prices!E:E,"MISSING")))</f>
        <v>#N/A</v>
      </c>
    </row>
    <row r="2631" spans="1:2">
      <c r="A2631">
        <f>Prices!A2637</f>
        <v>0</v>
      </c>
      <c r="B2631" s="470" t="e">
        <f>IF('Flow Indicator Parts List'!$D$2="CDN$",_xlfn.XLOOKUP(A2631,Prices!A:A,Prices!D:D),IF('Flow Indicator Parts List'!$D$2="US$",_xlfn.XLOOKUP(CurrencyModifier!A2631,Prices!A:A,Prices!E:E,"MISSING")))</f>
        <v>#N/A</v>
      </c>
    </row>
    <row r="2632" spans="1:2">
      <c r="A2632">
        <f>Prices!A2638</f>
        <v>0</v>
      </c>
      <c r="B2632" s="470" t="e">
        <f>IF('Flow Indicator Parts List'!$D$2="CDN$",_xlfn.XLOOKUP(A2632,Prices!A:A,Prices!D:D),IF('Flow Indicator Parts List'!$D$2="US$",_xlfn.XLOOKUP(CurrencyModifier!A2632,Prices!A:A,Prices!E:E,"MISSING")))</f>
        <v>#N/A</v>
      </c>
    </row>
    <row r="2633" spans="1:2">
      <c r="A2633">
        <f>Prices!A2639</f>
        <v>0</v>
      </c>
      <c r="B2633" s="470" t="e">
        <f>IF('Flow Indicator Parts List'!$D$2="CDN$",_xlfn.XLOOKUP(A2633,Prices!A:A,Prices!D:D),IF('Flow Indicator Parts List'!$D$2="US$",_xlfn.XLOOKUP(CurrencyModifier!A2633,Prices!A:A,Prices!E:E,"MISSING")))</f>
        <v>#N/A</v>
      </c>
    </row>
    <row r="2634" spans="1:2">
      <c r="A2634">
        <f>Prices!A2640</f>
        <v>0</v>
      </c>
      <c r="B2634" s="470" t="e">
        <f>IF('Flow Indicator Parts List'!$D$2="CDN$",_xlfn.XLOOKUP(A2634,Prices!A:A,Prices!D:D),IF('Flow Indicator Parts List'!$D$2="US$",_xlfn.XLOOKUP(CurrencyModifier!A2634,Prices!A:A,Prices!E:E,"MISSING")))</f>
        <v>#N/A</v>
      </c>
    </row>
    <row r="2635" spans="1:2">
      <c r="A2635">
        <f>Prices!A2641</f>
        <v>0</v>
      </c>
      <c r="B2635" s="470" t="e">
        <f>IF('Flow Indicator Parts List'!$D$2="CDN$",_xlfn.XLOOKUP(A2635,Prices!A:A,Prices!D:D),IF('Flow Indicator Parts List'!$D$2="US$",_xlfn.XLOOKUP(CurrencyModifier!A2635,Prices!A:A,Prices!E:E,"MISSING")))</f>
        <v>#N/A</v>
      </c>
    </row>
    <row r="2636" spans="1:2">
      <c r="A2636">
        <f>Prices!A2642</f>
        <v>0</v>
      </c>
      <c r="B2636" s="470" t="e">
        <f>IF('Flow Indicator Parts List'!$D$2="CDN$",_xlfn.XLOOKUP(A2636,Prices!A:A,Prices!D:D),IF('Flow Indicator Parts List'!$D$2="US$",_xlfn.XLOOKUP(CurrencyModifier!A2636,Prices!A:A,Prices!E:E,"MISSING")))</f>
        <v>#N/A</v>
      </c>
    </row>
    <row r="2637" spans="1:2">
      <c r="A2637">
        <f>Prices!A2643</f>
        <v>0</v>
      </c>
      <c r="B2637" s="470" t="e">
        <f>IF('Flow Indicator Parts List'!$D$2="CDN$",_xlfn.XLOOKUP(A2637,Prices!A:A,Prices!D:D),IF('Flow Indicator Parts List'!$D$2="US$",_xlfn.XLOOKUP(CurrencyModifier!A2637,Prices!A:A,Prices!E:E,"MISSING")))</f>
        <v>#N/A</v>
      </c>
    </row>
    <row r="2638" spans="1:2">
      <c r="A2638">
        <f>Prices!A2644</f>
        <v>0</v>
      </c>
      <c r="B2638" s="470" t="e">
        <f>IF('Flow Indicator Parts List'!$D$2="CDN$",_xlfn.XLOOKUP(A2638,Prices!A:A,Prices!D:D),IF('Flow Indicator Parts List'!$D$2="US$",_xlfn.XLOOKUP(CurrencyModifier!A2638,Prices!A:A,Prices!E:E,"MISSING")))</f>
        <v>#N/A</v>
      </c>
    </row>
    <row r="2639" spans="1:2">
      <c r="A2639">
        <f>Prices!A2645</f>
        <v>0</v>
      </c>
      <c r="B2639" s="470" t="e">
        <f>IF('Flow Indicator Parts List'!$D$2="CDN$",_xlfn.XLOOKUP(A2639,Prices!A:A,Prices!D:D),IF('Flow Indicator Parts List'!$D$2="US$",_xlfn.XLOOKUP(CurrencyModifier!A2639,Prices!A:A,Prices!E:E,"MISSING")))</f>
        <v>#N/A</v>
      </c>
    </row>
    <row r="2640" spans="1:2">
      <c r="A2640">
        <f>Prices!A2646</f>
        <v>0</v>
      </c>
      <c r="B2640" s="470" t="e">
        <f>IF('Flow Indicator Parts List'!$D$2="CDN$",_xlfn.XLOOKUP(A2640,Prices!A:A,Prices!D:D),IF('Flow Indicator Parts List'!$D$2="US$",_xlfn.XLOOKUP(CurrencyModifier!A2640,Prices!A:A,Prices!E:E,"MISSING")))</f>
        <v>#N/A</v>
      </c>
    </row>
    <row r="2641" spans="1:2">
      <c r="A2641">
        <f>Prices!A2647</f>
        <v>0</v>
      </c>
      <c r="B2641" s="470" t="e">
        <f>IF('Flow Indicator Parts List'!$D$2="CDN$",_xlfn.XLOOKUP(A2641,Prices!A:A,Prices!D:D),IF('Flow Indicator Parts List'!$D$2="US$",_xlfn.XLOOKUP(CurrencyModifier!A2641,Prices!A:A,Prices!E:E,"MISSING")))</f>
        <v>#N/A</v>
      </c>
    </row>
    <row r="2642" spans="1:2">
      <c r="A2642">
        <f>Prices!A2648</f>
        <v>0</v>
      </c>
      <c r="B2642" s="470" t="e">
        <f>IF('Flow Indicator Parts List'!$D$2="CDN$",_xlfn.XLOOKUP(A2642,Prices!A:A,Prices!D:D),IF('Flow Indicator Parts List'!$D$2="US$",_xlfn.XLOOKUP(CurrencyModifier!A2642,Prices!A:A,Prices!E:E,"MISSING")))</f>
        <v>#N/A</v>
      </c>
    </row>
    <row r="2643" spans="1:2">
      <c r="A2643">
        <f>Prices!A2649</f>
        <v>0</v>
      </c>
      <c r="B2643" s="470" t="e">
        <f>IF('Flow Indicator Parts List'!$D$2="CDN$",_xlfn.XLOOKUP(A2643,Prices!A:A,Prices!D:D),IF('Flow Indicator Parts List'!$D$2="US$",_xlfn.XLOOKUP(CurrencyModifier!A2643,Prices!A:A,Prices!E:E,"MISSING")))</f>
        <v>#N/A</v>
      </c>
    </row>
    <row r="2644" spans="1:2">
      <c r="A2644">
        <f>Prices!A2650</f>
        <v>0</v>
      </c>
      <c r="B2644" s="470" t="e">
        <f>IF('Flow Indicator Parts List'!$D$2="CDN$",_xlfn.XLOOKUP(A2644,Prices!A:A,Prices!D:D),IF('Flow Indicator Parts List'!$D$2="US$",_xlfn.XLOOKUP(CurrencyModifier!A2644,Prices!A:A,Prices!E:E,"MISSING")))</f>
        <v>#N/A</v>
      </c>
    </row>
    <row r="2645" spans="1:2">
      <c r="A2645">
        <f>Prices!A2651</f>
        <v>0</v>
      </c>
      <c r="B2645" s="470" t="e">
        <f>IF('Flow Indicator Parts List'!$D$2="CDN$",_xlfn.XLOOKUP(A2645,Prices!A:A,Prices!D:D),IF('Flow Indicator Parts List'!$D$2="US$",_xlfn.XLOOKUP(CurrencyModifier!A2645,Prices!A:A,Prices!E:E,"MISSING")))</f>
        <v>#N/A</v>
      </c>
    </row>
    <row r="2646" spans="1:2">
      <c r="A2646">
        <f>Prices!A2652</f>
        <v>0</v>
      </c>
      <c r="B2646" s="470" t="e">
        <f>IF('Flow Indicator Parts List'!$D$2="CDN$",_xlfn.XLOOKUP(A2646,Prices!A:A,Prices!D:D),IF('Flow Indicator Parts List'!$D$2="US$",_xlfn.XLOOKUP(CurrencyModifier!A2646,Prices!A:A,Prices!E:E,"MISSING")))</f>
        <v>#N/A</v>
      </c>
    </row>
    <row r="2647" spans="1:2">
      <c r="A2647">
        <f>Prices!A2653</f>
        <v>0</v>
      </c>
      <c r="B2647" s="470" t="e">
        <f>IF('Flow Indicator Parts List'!$D$2="CDN$",_xlfn.XLOOKUP(A2647,Prices!A:A,Prices!D:D),IF('Flow Indicator Parts List'!$D$2="US$",_xlfn.XLOOKUP(CurrencyModifier!A2647,Prices!A:A,Prices!E:E,"MISSING")))</f>
        <v>#N/A</v>
      </c>
    </row>
    <row r="2648" spans="1:2">
      <c r="A2648">
        <f>Prices!A2654</f>
        <v>0</v>
      </c>
      <c r="B2648" s="470" t="e">
        <f>IF('Flow Indicator Parts List'!$D$2="CDN$",_xlfn.XLOOKUP(A2648,Prices!A:A,Prices!D:D),IF('Flow Indicator Parts List'!$D$2="US$",_xlfn.XLOOKUP(CurrencyModifier!A2648,Prices!A:A,Prices!E:E,"MISSING")))</f>
        <v>#N/A</v>
      </c>
    </row>
    <row r="2649" spans="1:2">
      <c r="A2649">
        <f>Prices!A2655</f>
        <v>0</v>
      </c>
      <c r="B2649" s="470" t="e">
        <f>IF('Flow Indicator Parts List'!$D$2="CDN$",_xlfn.XLOOKUP(A2649,Prices!A:A,Prices!D:D),IF('Flow Indicator Parts List'!$D$2="US$",_xlfn.XLOOKUP(CurrencyModifier!A2649,Prices!A:A,Prices!E:E,"MISSING")))</f>
        <v>#N/A</v>
      </c>
    </row>
    <row r="2650" spans="1:2">
      <c r="A2650">
        <f>Prices!A2656</f>
        <v>0</v>
      </c>
      <c r="B2650" s="470" t="e">
        <f>IF('Flow Indicator Parts List'!$D$2="CDN$",_xlfn.XLOOKUP(A2650,Prices!A:A,Prices!D:D),IF('Flow Indicator Parts List'!$D$2="US$",_xlfn.XLOOKUP(CurrencyModifier!A2650,Prices!A:A,Prices!E:E,"MISSING")))</f>
        <v>#N/A</v>
      </c>
    </row>
    <row r="2651" spans="1:2">
      <c r="A2651">
        <f>Prices!A2657</f>
        <v>0</v>
      </c>
      <c r="B2651" s="470" t="e">
        <f>IF('Flow Indicator Parts List'!$D$2="CDN$",_xlfn.XLOOKUP(A2651,Prices!A:A,Prices!D:D),IF('Flow Indicator Parts List'!$D$2="US$",_xlfn.XLOOKUP(CurrencyModifier!A2651,Prices!A:A,Prices!E:E,"MISSING")))</f>
        <v>#N/A</v>
      </c>
    </row>
    <row r="2652" spans="1:2">
      <c r="A2652">
        <f>Prices!A2658</f>
        <v>0</v>
      </c>
      <c r="B2652" s="470" t="e">
        <f>IF('Flow Indicator Parts List'!$D$2="CDN$",_xlfn.XLOOKUP(A2652,Prices!A:A,Prices!D:D),IF('Flow Indicator Parts List'!$D$2="US$",_xlfn.XLOOKUP(CurrencyModifier!A2652,Prices!A:A,Prices!E:E,"MISSING")))</f>
        <v>#N/A</v>
      </c>
    </row>
    <row r="2653" spans="1:2">
      <c r="A2653">
        <f>Prices!A2659</f>
        <v>0</v>
      </c>
      <c r="B2653" s="470" t="e">
        <f>IF('Flow Indicator Parts List'!$D$2="CDN$",_xlfn.XLOOKUP(A2653,Prices!A:A,Prices!D:D),IF('Flow Indicator Parts List'!$D$2="US$",_xlfn.XLOOKUP(CurrencyModifier!A2653,Prices!A:A,Prices!E:E,"MISSING")))</f>
        <v>#N/A</v>
      </c>
    </row>
    <row r="2654" spans="1:2">
      <c r="A2654">
        <f>Prices!A2660</f>
        <v>0</v>
      </c>
      <c r="B2654" s="470" t="e">
        <f>IF('Flow Indicator Parts List'!$D$2="CDN$",_xlfn.XLOOKUP(A2654,Prices!A:A,Prices!D:D),IF('Flow Indicator Parts List'!$D$2="US$",_xlfn.XLOOKUP(CurrencyModifier!A2654,Prices!A:A,Prices!E:E,"MISSING")))</f>
        <v>#N/A</v>
      </c>
    </row>
    <row r="2655" spans="1:2">
      <c r="A2655">
        <f>Prices!A2661</f>
        <v>0</v>
      </c>
      <c r="B2655" s="470" t="e">
        <f>IF('Flow Indicator Parts List'!$D$2="CDN$",_xlfn.XLOOKUP(A2655,Prices!A:A,Prices!D:D),IF('Flow Indicator Parts List'!$D$2="US$",_xlfn.XLOOKUP(CurrencyModifier!A2655,Prices!A:A,Prices!E:E,"MISSING")))</f>
        <v>#N/A</v>
      </c>
    </row>
    <row r="2656" spans="1:2">
      <c r="A2656">
        <f>Prices!A2662</f>
        <v>0</v>
      </c>
      <c r="B2656" s="470" t="e">
        <f>IF('Flow Indicator Parts List'!$D$2="CDN$",_xlfn.XLOOKUP(A2656,Prices!A:A,Prices!D:D),IF('Flow Indicator Parts List'!$D$2="US$",_xlfn.XLOOKUP(CurrencyModifier!A2656,Prices!A:A,Prices!E:E,"MISSING")))</f>
        <v>#N/A</v>
      </c>
    </row>
    <row r="2657" spans="1:2">
      <c r="A2657">
        <f>Prices!A2663</f>
        <v>0</v>
      </c>
      <c r="B2657" s="470" t="e">
        <f>IF('Flow Indicator Parts List'!$D$2="CDN$",_xlfn.XLOOKUP(A2657,Prices!A:A,Prices!D:D),IF('Flow Indicator Parts List'!$D$2="US$",_xlfn.XLOOKUP(CurrencyModifier!A2657,Prices!A:A,Prices!E:E,"MISSING")))</f>
        <v>#N/A</v>
      </c>
    </row>
    <row r="2658" spans="1:2">
      <c r="A2658">
        <f>Prices!A2664</f>
        <v>0</v>
      </c>
      <c r="B2658" s="470" t="e">
        <f>IF('Flow Indicator Parts List'!$D$2="CDN$",_xlfn.XLOOKUP(A2658,Prices!A:A,Prices!D:D),IF('Flow Indicator Parts List'!$D$2="US$",_xlfn.XLOOKUP(CurrencyModifier!A2658,Prices!A:A,Prices!E:E,"MISSING")))</f>
        <v>#N/A</v>
      </c>
    </row>
    <row r="2659" spans="1:2">
      <c r="A2659">
        <f>Prices!A2665</f>
        <v>0</v>
      </c>
      <c r="B2659" s="470" t="e">
        <f>IF('Flow Indicator Parts List'!$D$2="CDN$",_xlfn.XLOOKUP(A2659,Prices!A:A,Prices!D:D),IF('Flow Indicator Parts List'!$D$2="US$",_xlfn.XLOOKUP(CurrencyModifier!A2659,Prices!A:A,Prices!E:E,"MISSING")))</f>
        <v>#N/A</v>
      </c>
    </row>
    <row r="2660" spans="1:2">
      <c r="A2660">
        <f>Prices!A2666</f>
        <v>0</v>
      </c>
      <c r="B2660" s="470" t="e">
        <f>IF('Flow Indicator Parts List'!$D$2="CDN$",_xlfn.XLOOKUP(A2660,Prices!A:A,Prices!D:D),IF('Flow Indicator Parts List'!$D$2="US$",_xlfn.XLOOKUP(CurrencyModifier!A2660,Prices!A:A,Prices!E:E,"MISSING")))</f>
        <v>#N/A</v>
      </c>
    </row>
    <row r="2661" spans="1:2">
      <c r="A2661">
        <f>Prices!A2667</f>
        <v>0</v>
      </c>
      <c r="B2661" s="470" t="e">
        <f>IF('Flow Indicator Parts List'!$D$2="CDN$",_xlfn.XLOOKUP(A2661,Prices!A:A,Prices!D:D),IF('Flow Indicator Parts List'!$D$2="US$",_xlfn.XLOOKUP(CurrencyModifier!A2661,Prices!A:A,Prices!E:E,"MISSING")))</f>
        <v>#N/A</v>
      </c>
    </row>
    <row r="2662" spans="1:2">
      <c r="A2662">
        <f>Prices!A2668</f>
        <v>0</v>
      </c>
      <c r="B2662" s="470" t="e">
        <f>IF('Flow Indicator Parts List'!$D$2="CDN$",_xlfn.XLOOKUP(A2662,Prices!A:A,Prices!D:D),IF('Flow Indicator Parts List'!$D$2="US$",_xlfn.XLOOKUP(CurrencyModifier!A2662,Prices!A:A,Prices!E:E,"MISSING")))</f>
        <v>#N/A</v>
      </c>
    </row>
    <row r="2663" spans="1:2">
      <c r="A2663">
        <f>Prices!A2669</f>
        <v>0</v>
      </c>
      <c r="B2663" s="470" t="e">
        <f>IF('Flow Indicator Parts List'!$D$2="CDN$",_xlfn.XLOOKUP(A2663,Prices!A:A,Prices!D:D),IF('Flow Indicator Parts List'!$D$2="US$",_xlfn.XLOOKUP(CurrencyModifier!A2663,Prices!A:A,Prices!E:E,"MISSING")))</f>
        <v>#N/A</v>
      </c>
    </row>
    <row r="2664" spans="1:2">
      <c r="A2664">
        <f>Prices!A2670</f>
        <v>0</v>
      </c>
      <c r="B2664" s="470" t="e">
        <f>IF('Flow Indicator Parts List'!$D$2="CDN$",_xlfn.XLOOKUP(A2664,Prices!A:A,Prices!D:D),IF('Flow Indicator Parts List'!$D$2="US$",_xlfn.XLOOKUP(CurrencyModifier!A2664,Prices!A:A,Prices!E:E,"MISSING")))</f>
        <v>#N/A</v>
      </c>
    </row>
    <row r="2665" spans="1:2">
      <c r="A2665">
        <f>Prices!A2671</f>
        <v>0</v>
      </c>
      <c r="B2665" s="470" t="e">
        <f>IF('Flow Indicator Parts List'!$D$2="CDN$",_xlfn.XLOOKUP(A2665,Prices!A:A,Prices!D:D),IF('Flow Indicator Parts List'!$D$2="US$",_xlfn.XLOOKUP(CurrencyModifier!A2665,Prices!A:A,Prices!E:E,"MISSING")))</f>
        <v>#N/A</v>
      </c>
    </row>
    <row r="2666" spans="1:2">
      <c r="A2666">
        <f>Prices!A2672</f>
        <v>0</v>
      </c>
      <c r="B2666" s="470" t="e">
        <f>IF('Flow Indicator Parts List'!$D$2="CDN$",_xlfn.XLOOKUP(A2666,Prices!A:A,Prices!D:D),IF('Flow Indicator Parts List'!$D$2="US$",_xlfn.XLOOKUP(CurrencyModifier!A2666,Prices!A:A,Prices!E:E,"MISSING")))</f>
        <v>#N/A</v>
      </c>
    </row>
    <row r="2667" spans="1:2">
      <c r="A2667">
        <f>Prices!A2673</f>
        <v>0</v>
      </c>
      <c r="B2667" s="470" t="e">
        <f>IF('Flow Indicator Parts List'!$D$2="CDN$",_xlfn.XLOOKUP(A2667,Prices!A:A,Prices!D:D),IF('Flow Indicator Parts List'!$D$2="US$",_xlfn.XLOOKUP(CurrencyModifier!A2667,Prices!A:A,Prices!E:E,"MISSING")))</f>
        <v>#N/A</v>
      </c>
    </row>
    <row r="2668" spans="1:2">
      <c r="A2668">
        <f>Prices!A2674</f>
        <v>0</v>
      </c>
      <c r="B2668" s="470" t="e">
        <f>IF('Flow Indicator Parts List'!$D$2="CDN$",_xlfn.XLOOKUP(A2668,Prices!A:A,Prices!D:D),IF('Flow Indicator Parts List'!$D$2="US$",_xlfn.XLOOKUP(CurrencyModifier!A2668,Prices!A:A,Prices!E:E,"MISSING")))</f>
        <v>#N/A</v>
      </c>
    </row>
    <row r="2669" spans="1:2">
      <c r="A2669">
        <f>Prices!A2675</f>
        <v>0</v>
      </c>
      <c r="B2669" s="470" t="e">
        <f>IF('Flow Indicator Parts List'!$D$2="CDN$",_xlfn.XLOOKUP(A2669,Prices!A:A,Prices!D:D),IF('Flow Indicator Parts List'!$D$2="US$",_xlfn.XLOOKUP(CurrencyModifier!A2669,Prices!A:A,Prices!E:E,"MISSING")))</f>
        <v>#N/A</v>
      </c>
    </row>
    <row r="2670" spans="1:2">
      <c r="A2670">
        <f>Prices!A2676</f>
        <v>0</v>
      </c>
      <c r="B2670" s="470" t="e">
        <f>IF('Flow Indicator Parts List'!$D$2="CDN$",_xlfn.XLOOKUP(A2670,Prices!A:A,Prices!D:D),IF('Flow Indicator Parts List'!$D$2="US$",_xlfn.XLOOKUP(CurrencyModifier!A2670,Prices!A:A,Prices!E:E,"MISSING")))</f>
        <v>#N/A</v>
      </c>
    </row>
    <row r="2671" spans="1:2">
      <c r="A2671">
        <f>Prices!A2677</f>
        <v>0</v>
      </c>
      <c r="B2671" s="470" t="e">
        <f>IF('Flow Indicator Parts List'!$D$2="CDN$",_xlfn.XLOOKUP(A2671,Prices!A:A,Prices!D:D),IF('Flow Indicator Parts List'!$D$2="US$",_xlfn.XLOOKUP(CurrencyModifier!A2671,Prices!A:A,Prices!E:E,"MISSING")))</f>
        <v>#N/A</v>
      </c>
    </row>
    <row r="2672" spans="1:2">
      <c r="A2672">
        <f>Prices!A2678</f>
        <v>0</v>
      </c>
      <c r="B2672" s="470" t="e">
        <f>IF('Flow Indicator Parts List'!$D$2="CDN$",_xlfn.XLOOKUP(A2672,Prices!A:A,Prices!D:D),IF('Flow Indicator Parts List'!$D$2="US$",_xlfn.XLOOKUP(CurrencyModifier!A2672,Prices!A:A,Prices!E:E,"MISSING")))</f>
        <v>#N/A</v>
      </c>
    </row>
    <row r="2673" spans="1:2">
      <c r="A2673">
        <f>Prices!A2679</f>
        <v>0</v>
      </c>
      <c r="B2673" s="470" t="e">
        <f>IF('Flow Indicator Parts List'!$D$2="CDN$",_xlfn.XLOOKUP(A2673,Prices!A:A,Prices!D:D),IF('Flow Indicator Parts List'!$D$2="US$",_xlfn.XLOOKUP(CurrencyModifier!A2673,Prices!A:A,Prices!E:E,"MISSING")))</f>
        <v>#N/A</v>
      </c>
    </row>
    <row r="2674" spans="1:2">
      <c r="A2674">
        <f>Prices!A2680</f>
        <v>0</v>
      </c>
      <c r="B2674" s="470" t="e">
        <f>IF('Flow Indicator Parts List'!$D$2="CDN$",_xlfn.XLOOKUP(A2674,Prices!A:A,Prices!D:D),IF('Flow Indicator Parts List'!$D$2="US$",_xlfn.XLOOKUP(CurrencyModifier!A2674,Prices!A:A,Prices!E:E,"MISSING")))</f>
        <v>#N/A</v>
      </c>
    </row>
    <row r="2675" spans="1:2">
      <c r="A2675">
        <f>Prices!A2681</f>
        <v>0</v>
      </c>
      <c r="B2675" s="470" t="e">
        <f>IF('Flow Indicator Parts List'!$D$2="CDN$",_xlfn.XLOOKUP(A2675,Prices!A:A,Prices!D:D),IF('Flow Indicator Parts List'!$D$2="US$",_xlfn.XLOOKUP(CurrencyModifier!A2675,Prices!A:A,Prices!E:E,"MISSING")))</f>
        <v>#N/A</v>
      </c>
    </row>
    <row r="2676" spans="1:2">
      <c r="A2676">
        <f>Prices!A2682</f>
        <v>0</v>
      </c>
      <c r="B2676" s="470" t="e">
        <f>IF('Flow Indicator Parts List'!$D$2="CDN$",_xlfn.XLOOKUP(A2676,Prices!A:A,Prices!D:D),IF('Flow Indicator Parts List'!$D$2="US$",_xlfn.XLOOKUP(CurrencyModifier!A2676,Prices!A:A,Prices!E:E,"MISSING")))</f>
        <v>#N/A</v>
      </c>
    </row>
    <row r="2677" spans="1:2">
      <c r="A2677">
        <f>Prices!A2683</f>
        <v>0</v>
      </c>
      <c r="B2677" s="470" t="e">
        <f>IF('Flow Indicator Parts List'!$D$2="CDN$",_xlfn.XLOOKUP(A2677,Prices!A:A,Prices!D:D),IF('Flow Indicator Parts List'!$D$2="US$",_xlfn.XLOOKUP(CurrencyModifier!A2677,Prices!A:A,Prices!E:E,"MISSING")))</f>
        <v>#N/A</v>
      </c>
    </row>
    <row r="2678" spans="1:2">
      <c r="A2678">
        <f>Prices!A2684</f>
        <v>0</v>
      </c>
      <c r="B2678" s="470" t="e">
        <f>IF('Flow Indicator Parts List'!$D$2="CDN$",_xlfn.XLOOKUP(A2678,Prices!A:A,Prices!D:D),IF('Flow Indicator Parts List'!$D$2="US$",_xlfn.XLOOKUP(CurrencyModifier!A2678,Prices!A:A,Prices!E:E,"MISSING")))</f>
        <v>#N/A</v>
      </c>
    </row>
    <row r="2679" spans="1:2">
      <c r="A2679">
        <f>Prices!A2685</f>
        <v>0</v>
      </c>
      <c r="B2679" s="470" t="e">
        <f>IF('Flow Indicator Parts List'!$D$2="CDN$",_xlfn.XLOOKUP(A2679,Prices!A:A,Prices!D:D),IF('Flow Indicator Parts List'!$D$2="US$",_xlfn.XLOOKUP(CurrencyModifier!A2679,Prices!A:A,Prices!E:E,"MISSING")))</f>
        <v>#N/A</v>
      </c>
    </row>
    <row r="2680" spans="1:2">
      <c r="A2680">
        <f>Prices!A2686</f>
        <v>0</v>
      </c>
      <c r="B2680" s="470" t="e">
        <f>IF('Flow Indicator Parts List'!$D$2="CDN$",_xlfn.XLOOKUP(A2680,Prices!A:A,Prices!D:D),IF('Flow Indicator Parts List'!$D$2="US$",_xlfn.XLOOKUP(CurrencyModifier!A2680,Prices!A:A,Prices!E:E,"MISSING")))</f>
        <v>#N/A</v>
      </c>
    </row>
    <row r="2681" spans="1:2">
      <c r="A2681">
        <f>Prices!A2687</f>
        <v>0</v>
      </c>
      <c r="B2681" s="470" t="e">
        <f>IF('Flow Indicator Parts List'!$D$2="CDN$",_xlfn.XLOOKUP(A2681,Prices!A:A,Prices!D:D),IF('Flow Indicator Parts List'!$D$2="US$",_xlfn.XLOOKUP(CurrencyModifier!A2681,Prices!A:A,Prices!E:E,"MISSING")))</f>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C337-10B0-4F0E-9571-90390051FFF3}">
  <dimension ref="A1:V1931"/>
  <sheetViews>
    <sheetView workbookViewId="0">
      <selection sqref="A1:XFD1048576"/>
    </sheetView>
  </sheetViews>
  <sheetFormatPr defaultColWidth="14.42578125" defaultRowHeight="12.75"/>
  <cols>
    <col min="1" max="1" width="14" style="476" customWidth="1"/>
    <col min="2" max="2" width="92.7109375" style="476" customWidth="1"/>
    <col min="3" max="3" width="27.140625" style="476" customWidth="1"/>
    <col min="4" max="5" width="10.42578125" style="476" customWidth="1"/>
    <col min="6" max="6" width="10.140625" style="480" customWidth="1"/>
    <col min="7" max="7" width="10" style="476" customWidth="1"/>
    <col min="8" max="9" width="15.5703125" style="476" customWidth="1"/>
    <col min="10" max="10" width="15.5703125" style="596" customWidth="1"/>
    <col min="11" max="22" width="10.28515625" style="476" customWidth="1"/>
    <col min="23" max="16384" width="14.42578125" style="476"/>
  </cols>
  <sheetData>
    <row r="1" spans="1:22" ht="14.25" customHeight="1">
      <c r="A1" s="471"/>
      <c r="B1" s="471"/>
      <c r="C1" s="471"/>
      <c r="D1" s="472"/>
      <c r="E1" s="472"/>
      <c r="F1" s="473"/>
      <c r="G1" s="474"/>
      <c r="H1" s="474"/>
      <c r="I1" s="474"/>
      <c r="J1" s="475"/>
    </row>
    <row r="2" spans="1:22" ht="17.25" customHeight="1">
      <c r="A2" s="471"/>
      <c r="B2" s="477" t="s">
        <v>4160</v>
      </c>
      <c r="C2" s="478"/>
      <c r="D2" s="479"/>
      <c r="E2" s="479"/>
      <c r="G2" s="481"/>
      <c r="H2" s="481"/>
      <c r="I2" s="481"/>
      <c r="J2" s="482"/>
    </row>
    <row r="3" spans="1:22" ht="14.25" customHeight="1">
      <c r="A3" s="483"/>
      <c r="B3" s="484" t="s">
        <v>176</v>
      </c>
      <c r="C3" s="483"/>
      <c r="D3" s="485"/>
      <c r="E3" s="486"/>
      <c r="F3" s="487"/>
      <c r="G3" s="751" t="s">
        <v>3660</v>
      </c>
      <c r="H3" s="488"/>
      <c r="I3" s="489"/>
      <c r="J3" s="490"/>
    </row>
    <row r="4" spans="1:22" ht="14.25" customHeight="1">
      <c r="A4" s="491"/>
      <c r="B4" s="492"/>
      <c r="C4" s="491"/>
      <c r="D4" s="493" t="s">
        <v>4161</v>
      </c>
      <c r="E4" s="494" t="s">
        <v>4162</v>
      </c>
      <c r="F4" s="495"/>
      <c r="G4" s="752"/>
      <c r="H4" s="496"/>
      <c r="I4" s="497"/>
      <c r="J4" s="498"/>
      <c r="K4" s="499"/>
      <c r="L4" s="499"/>
      <c r="M4" s="499"/>
      <c r="N4" s="499"/>
      <c r="O4" s="499"/>
      <c r="P4" s="499"/>
      <c r="Q4" s="499"/>
      <c r="R4" s="499"/>
      <c r="S4" s="499"/>
      <c r="T4" s="499"/>
      <c r="U4" s="499"/>
      <c r="V4" s="499"/>
    </row>
    <row r="5" spans="1:22" ht="14.25" customHeight="1">
      <c r="A5" s="491" t="s">
        <v>177</v>
      </c>
      <c r="B5" s="500" t="s">
        <v>178</v>
      </c>
      <c r="C5" s="501" t="s">
        <v>4156</v>
      </c>
      <c r="D5" s="502" t="s">
        <v>3659</v>
      </c>
      <c r="E5" s="503" t="s">
        <v>3659</v>
      </c>
      <c r="F5" s="495" t="s">
        <v>4163</v>
      </c>
      <c r="G5" s="752"/>
      <c r="H5" s="496" t="s">
        <v>3661</v>
      </c>
      <c r="I5" s="497"/>
      <c r="J5" s="498"/>
      <c r="K5" s="499"/>
      <c r="L5" s="499"/>
      <c r="M5" s="499"/>
      <c r="N5" s="499"/>
      <c r="O5" s="499"/>
      <c r="P5" s="499"/>
      <c r="Q5" s="499"/>
      <c r="R5" s="499"/>
      <c r="S5" s="499"/>
      <c r="T5" s="499"/>
      <c r="U5" s="499"/>
      <c r="V5" s="499"/>
    </row>
    <row r="6" spans="1:22" ht="14.25" customHeight="1">
      <c r="A6" s="504"/>
      <c r="B6" s="505"/>
      <c r="C6" s="504"/>
      <c r="D6" s="506"/>
      <c r="E6" s="507"/>
      <c r="F6" s="508" t="s">
        <v>4164</v>
      </c>
      <c r="G6" s="752"/>
      <c r="H6" s="509" t="s">
        <v>3662</v>
      </c>
      <c r="I6" s="510" t="s">
        <v>4157</v>
      </c>
      <c r="J6" s="511" t="s">
        <v>4165</v>
      </c>
    </row>
    <row r="7" spans="1:22" ht="14.25" customHeight="1">
      <c r="A7" s="512" t="s">
        <v>176</v>
      </c>
      <c r="B7" s="513"/>
      <c r="C7" s="512"/>
      <c r="D7" s="514" t="s">
        <v>4166</v>
      </c>
      <c r="E7" s="515" t="s">
        <v>4166</v>
      </c>
      <c r="F7" s="516"/>
      <c r="G7" s="753"/>
      <c r="H7" s="517"/>
      <c r="I7" s="518"/>
      <c r="J7" s="519"/>
    </row>
    <row r="8" spans="1:22" ht="14.25" customHeight="1">
      <c r="A8" s="520" t="s">
        <v>179</v>
      </c>
      <c r="B8" s="521" t="s">
        <v>180</v>
      </c>
      <c r="C8" s="520" t="s">
        <v>181</v>
      </c>
      <c r="D8" s="472">
        <v>0</v>
      </c>
      <c r="E8" s="522">
        <v>0</v>
      </c>
      <c r="F8" s="523"/>
      <c r="G8" s="524" t="s">
        <v>3663</v>
      </c>
      <c r="H8" s="525" t="s">
        <v>3664</v>
      </c>
      <c r="I8" s="474"/>
      <c r="J8" s="475" t="s">
        <v>4166</v>
      </c>
    </row>
    <row r="9" spans="1:22" ht="14.25" customHeight="1">
      <c r="A9" s="520" t="s">
        <v>182</v>
      </c>
      <c r="B9" s="521" t="s">
        <v>183</v>
      </c>
      <c r="C9" s="520" t="s">
        <v>181</v>
      </c>
      <c r="D9" s="472">
        <v>0</v>
      </c>
      <c r="E9" s="522">
        <v>0</v>
      </c>
      <c r="F9" s="523"/>
      <c r="G9" s="524" t="s">
        <v>3663</v>
      </c>
      <c r="H9" s="525" t="s">
        <v>3664</v>
      </c>
      <c r="I9" s="474"/>
      <c r="J9" s="475" t="s">
        <v>4166</v>
      </c>
    </row>
    <row r="10" spans="1:22" ht="14.25" customHeight="1">
      <c r="A10" s="520" t="s">
        <v>184</v>
      </c>
      <c r="B10" s="521" t="s">
        <v>3665</v>
      </c>
      <c r="C10" s="520" t="s">
        <v>181</v>
      </c>
      <c r="D10" s="472">
        <v>0</v>
      </c>
      <c r="E10" s="522">
        <v>0</v>
      </c>
      <c r="F10" s="523"/>
      <c r="G10" s="524" t="s">
        <v>3663</v>
      </c>
      <c r="H10" s="525" t="s">
        <v>3664</v>
      </c>
      <c r="I10" s="474"/>
      <c r="J10" s="475" t="s">
        <v>4166</v>
      </c>
    </row>
    <row r="11" spans="1:22" ht="14.25" customHeight="1">
      <c r="A11" s="520" t="s">
        <v>185</v>
      </c>
      <c r="B11" s="521" t="s">
        <v>186</v>
      </c>
      <c r="C11" s="520" t="s">
        <v>181</v>
      </c>
      <c r="D11" s="472">
        <v>0</v>
      </c>
      <c r="E11" s="522">
        <v>0</v>
      </c>
      <c r="F11" s="523"/>
      <c r="G11" s="524" t="s">
        <v>3663</v>
      </c>
      <c r="H11" s="525" t="s">
        <v>3664</v>
      </c>
      <c r="I11" s="474"/>
      <c r="J11" s="475" t="s">
        <v>4166</v>
      </c>
    </row>
    <row r="12" spans="1:22" ht="14.25" customHeight="1">
      <c r="A12" s="520" t="s">
        <v>187</v>
      </c>
      <c r="B12" s="521" t="s">
        <v>188</v>
      </c>
      <c r="C12" s="520" t="s">
        <v>181</v>
      </c>
      <c r="D12" s="472">
        <v>0</v>
      </c>
      <c r="E12" s="522">
        <v>0</v>
      </c>
      <c r="F12" s="523"/>
      <c r="G12" s="524" t="s">
        <v>3663</v>
      </c>
      <c r="H12" s="525" t="s">
        <v>3664</v>
      </c>
      <c r="I12" s="474"/>
      <c r="J12" s="475" t="s">
        <v>4166</v>
      </c>
    </row>
    <row r="13" spans="1:22" ht="14.25" customHeight="1">
      <c r="A13" s="520" t="s">
        <v>189</v>
      </c>
      <c r="B13" s="521" t="s">
        <v>190</v>
      </c>
      <c r="C13" s="520" t="s">
        <v>181</v>
      </c>
      <c r="D13" s="472">
        <v>0</v>
      </c>
      <c r="E13" s="522">
        <v>0</v>
      </c>
      <c r="F13" s="523"/>
      <c r="G13" s="524" t="s">
        <v>3663</v>
      </c>
      <c r="H13" s="525" t="s">
        <v>3664</v>
      </c>
      <c r="I13" s="474"/>
      <c r="J13" s="475" t="s">
        <v>4166</v>
      </c>
    </row>
    <row r="14" spans="1:22" ht="14.25" customHeight="1">
      <c r="A14" s="520" t="s">
        <v>191</v>
      </c>
      <c r="B14" s="521" t="s">
        <v>192</v>
      </c>
      <c r="C14" s="520" t="s">
        <v>181</v>
      </c>
      <c r="D14" s="472">
        <v>0</v>
      </c>
      <c r="E14" s="522">
        <v>0</v>
      </c>
      <c r="F14" s="523"/>
      <c r="G14" s="524" t="s">
        <v>3663</v>
      </c>
      <c r="H14" s="525" t="s">
        <v>3664</v>
      </c>
      <c r="I14" s="474"/>
      <c r="J14" s="475" t="s">
        <v>4166</v>
      </c>
    </row>
    <row r="15" spans="1:22" ht="14.25" customHeight="1">
      <c r="A15" s="520" t="s">
        <v>193</v>
      </c>
      <c r="B15" s="521" t="s">
        <v>194</v>
      </c>
      <c r="C15" s="520" t="s">
        <v>181</v>
      </c>
      <c r="D15" s="472">
        <v>0</v>
      </c>
      <c r="E15" s="522">
        <v>0</v>
      </c>
      <c r="F15" s="523"/>
      <c r="G15" s="524" t="s">
        <v>3663</v>
      </c>
      <c r="H15" s="525" t="s">
        <v>3664</v>
      </c>
      <c r="I15" s="474"/>
      <c r="J15" s="475" t="s">
        <v>4166</v>
      </c>
    </row>
    <row r="16" spans="1:22" ht="14.25" customHeight="1">
      <c r="A16" s="520" t="s">
        <v>195</v>
      </c>
      <c r="B16" s="521" t="s">
        <v>196</v>
      </c>
      <c r="C16" s="520" t="s">
        <v>197</v>
      </c>
      <c r="D16" s="472">
        <v>35.973999999999997</v>
      </c>
      <c r="E16" s="522">
        <v>33.526000000000003</v>
      </c>
      <c r="F16" s="523" t="s">
        <v>4166</v>
      </c>
      <c r="G16" s="524" t="s">
        <v>3663</v>
      </c>
      <c r="H16" s="525" t="s">
        <v>3666</v>
      </c>
      <c r="I16" s="474"/>
      <c r="J16" s="475" t="s">
        <v>4167</v>
      </c>
    </row>
    <row r="17" spans="1:10" ht="14.25" customHeight="1">
      <c r="A17" s="520" t="s">
        <v>198</v>
      </c>
      <c r="B17" s="521" t="s">
        <v>199</v>
      </c>
      <c r="C17" s="520" t="s">
        <v>197</v>
      </c>
      <c r="D17" s="472">
        <v>35.973999999999997</v>
      </c>
      <c r="E17" s="522">
        <v>33.526000000000003</v>
      </c>
      <c r="F17" s="523" t="s">
        <v>4166</v>
      </c>
      <c r="G17" s="524" t="s">
        <v>3663</v>
      </c>
      <c r="H17" s="525" t="s">
        <v>3666</v>
      </c>
      <c r="I17" s="474"/>
      <c r="J17" s="475" t="s">
        <v>4168</v>
      </c>
    </row>
    <row r="18" spans="1:10" ht="14.25" customHeight="1">
      <c r="A18" s="520" t="s">
        <v>200</v>
      </c>
      <c r="B18" s="521" t="s">
        <v>201</v>
      </c>
      <c r="C18" s="520" t="s">
        <v>197</v>
      </c>
      <c r="D18" s="472">
        <v>35.973999999999997</v>
      </c>
      <c r="E18" s="522">
        <v>33.526000000000003</v>
      </c>
      <c r="F18" s="523" t="s">
        <v>4166</v>
      </c>
      <c r="G18" s="524" t="s">
        <v>3663</v>
      </c>
      <c r="H18" s="525" t="s">
        <v>3666</v>
      </c>
      <c r="I18" s="474"/>
      <c r="J18" s="475" t="s">
        <v>4169</v>
      </c>
    </row>
    <row r="19" spans="1:10" ht="14.25" customHeight="1">
      <c r="A19" s="520" t="s">
        <v>202</v>
      </c>
      <c r="B19" s="521" t="s">
        <v>203</v>
      </c>
      <c r="C19" s="520" t="s">
        <v>197</v>
      </c>
      <c r="D19" s="472">
        <v>35.973999999999997</v>
      </c>
      <c r="E19" s="522">
        <v>33.526000000000003</v>
      </c>
      <c r="F19" s="523" t="s">
        <v>4166</v>
      </c>
      <c r="G19" s="524" t="s">
        <v>3663</v>
      </c>
      <c r="H19" s="525" t="s">
        <v>3666</v>
      </c>
      <c r="I19" s="474"/>
      <c r="J19" s="475" t="s">
        <v>4170</v>
      </c>
    </row>
    <row r="20" spans="1:10" ht="14.25" customHeight="1">
      <c r="A20" s="520" t="s">
        <v>204</v>
      </c>
      <c r="B20" s="521" t="s">
        <v>205</v>
      </c>
      <c r="C20" s="520" t="s">
        <v>197</v>
      </c>
      <c r="D20" s="472">
        <v>35.973999999999997</v>
      </c>
      <c r="E20" s="522">
        <v>33.526000000000003</v>
      </c>
      <c r="F20" s="523" t="s">
        <v>4166</v>
      </c>
      <c r="G20" s="524" t="s">
        <v>3663</v>
      </c>
      <c r="H20" s="525" t="s">
        <v>3666</v>
      </c>
      <c r="I20" s="474"/>
      <c r="J20" s="475" t="s">
        <v>4171</v>
      </c>
    </row>
    <row r="21" spans="1:10" ht="14.25" customHeight="1">
      <c r="A21" s="520" t="s">
        <v>206</v>
      </c>
      <c r="B21" s="521" t="s">
        <v>207</v>
      </c>
      <c r="C21" s="520" t="s">
        <v>197</v>
      </c>
      <c r="D21" s="472">
        <v>35.973999999999997</v>
      </c>
      <c r="E21" s="522">
        <v>33.526000000000003</v>
      </c>
      <c r="F21" s="523" t="s">
        <v>4166</v>
      </c>
      <c r="G21" s="524" t="s">
        <v>3663</v>
      </c>
      <c r="H21" s="525" t="s">
        <v>3666</v>
      </c>
      <c r="I21" s="474"/>
      <c r="J21" s="475" t="s">
        <v>4172</v>
      </c>
    </row>
    <row r="22" spans="1:10" ht="14.25" customHeight="1">
      <c r="A22" s="520" t="s">
        <v>208</v>
      </c>
      <c r="B22" s="521" t="s">
        <v>209</v>
      </c>
      <c r="C22" s="520" t="s">
        <v>197</v>
      </c>
      <c r="D22" s="472">
        <v>11.131</v>
      </c>
      <c r="E22" s="522">
        <v>10.694000000000001</v>
      </c>
      <c r="F22" s="523" t="s">
        <v>4166</v>
      </c>
      <c r="G22" s="524" t="s">
        <v>3663</v>
      </c>
      <c r="H22" s="525" t="s">
        <v>3666</v>
      </c>
      <c r="I22" s="474"/>
      <c r="J22" s="475" t="s">
        <v>4173</v>
      </c>
    </row>
    <row r="23" spans="1:10" ht="14.25" customHeight="1">
      <c r="A23" s="520" t="s">
        <v>210</v>
      </c>
      <c r="B23" s="521" t="s">
        <v>211</v>
      </c>
      <c r="C23" s="520" t="s">
        <v>197</v>
      </c>
      <c r="D23" s="472">
        <v>1.6140000000000001</v>
      </c>
      <c r="E23" s="522">
        <v>1.5049999999999999</v>
      </c>
      <c r="F23" s="523" t="s">
        <v>4166</v>
      </c>
      <c r="G23" s="524" t="s">
        <v>3663</v>
      </c>
      <c r="H23" s="525" t="s">
        <v>3666</v>
      </c>
      <c r="I23" s="474"/>
      <c r="J23" s="475" t="s">
        <v>4174</v>
      </c>
    </row>
    <row r="24" spans="1:10" ht="14.25" customHeight="1">
      <c r="A24" s="520" t="s">
        <v>212</v>
      </c>
      <c r="B24" s="521" t="s">
        <v>3667</v>
      </c>
      <c r="C24" s="520" t="s">
        <v>213</v>
      </c>
      <c r="D24" s="472">
        <v>0.30499999999999999</v>
      </c>
      <c r="E24" s="522">
        <v>0.28599999999999998</v>
      </c>
      <c r="F24" s="523">
        <v>0.3</v>
      </c>
      <c r="G24" s="526" t="s">
        <v>3668</v>
      </c>
      <c r="H24" s="525" t="s">
        <v>3669</v>
      </c>
      <c r="I24" s="474">
        <v>4016.93</v>
      </c>
      <c r="J24" s="475" t="s">
        <v>4175</v>
      </c>
    </row>
    <row r="25" spans="1:10" ht="14.25" customHeight="1">
      <c r="A25" s="520" t="s">
        <v>214</v>
      </c>
      <c r="B25" s="521" t="s">
        <v>3670</v>
      </c>
      <c r="C25" s="520" t="s">
        <v>213</v>
      </c>
      <c r="D25" s="472">
        <v>0.32</v>
      </c>
      <c r="E25" s="522">
        <v>0.29799999999999999</v>
      </c>
      <c r="F25" s="523" t="s">
        <v>4166</v>
      </c>
      <c r="G25" s="526" t="s">
        <v>3668</v>
      </c>
      <c r="H25" s="525" t="s">
        <v>3669</v>
      </c>
      <c r="I25" s="474">
        <v>4016.93</v>
      </c>
      <c r="J25" s="475" t="s">
        <v>4176</v>
      </c>
    </row>
    <row r="26" spans="1:10" ht="14.25" customHeight="1">
      <c r="A26" s="520" t="s">
        <v>215</v>
      </c>
      <c r="B26" s="521" t="s">
        <v>3672</v>
      </c>
      <c r="C26" s="520" t="s">
        <v>213</v>
      </c>
      <c r="D26" s="472">
        <v>2.0950000000000002</v>
      </c>
      <c r="E26" s="522">
        <v>1.994</v>
      </c>
      <c r="F26" s="523" t="s">
        <v>4166</v>
      </c>
      <c r="G26" s="526" t="s">
        <v>3668</v>
      </c>
      <c r="H26" s="525" t="s">
        <v>3669</v>
      </c>
      <c r="I26" s="474">
        <v>4016.93</v>
      </c>
      <c r="J26" s="475" t="s">
        <v>4177</v>
      </c>
    </row>
    <row r="27" spans="1:10" ht="14.25" customHeight="1">
      <c r="A27" s="520" t="s">
        <v>216</v>
      </c>
      <c r="B27" s="521" t="s">
        <v>3673</v>
      </c>
      <c r="C27" s="520" t="s">
        <v>213</v>
      </c>
      <c r="D27" s="472">
        <v>2.7509999999999999</v>
      </c>
      <c r="E27" s="522">
        <v>2.6190000000000002</v>
      </c>
      <c r="F27" s="523" t="s">
        <v>4166</v>
      </c>
      <c r="G27" s="526" t="s">
        <v>3668</v>
      </c>
      <c r="H27" s="525" t="s">
        <v>3669</v>
      </c>
      <c r="I27" s="474">
        <v>4016.93</v>
      </c>
      <c r="J27" s="475" t="s">
        <v>4178</v>
      </c>
    </row>
    <row r="28" spans="1:10" ht="14.25" customHeight="1">
      <c r="A28" s="520" t="s">
        <v>217</v>
      </c>
      <c r="B28" s="521" t="s">
        <v>218</v>
      </c>
      <c r="C28" s="520" t="s">
        <v>213</v>
      </c>
      <c r="D28" s="472">
        <v>4.9610000000000003</v>
      </c>
      <c r="E28" s="522">
        <v>4.758</v>
      </c>
      <c r="F28" s="523" t="s">
        <v>4166</v>
      </c>
      <c r="G28" s="524" t="s">
        <v>3663</v>
      </c>
      <c r="H28" s="525" t="s">
        <v>3666</v>
      </c>
      <c r="I28" s="474"/>
      <c r="J28" s="475" t="s">
        <v>4179</v>
      </c>
    </row>
    <row r="29" spans="1:10" ht="14.25" customHeight="1">
      <c r="A29" s="520" t="s">
        <v>219</v>
      </c>
      <c r="B29" s="521" t="s">
        <v>220</v>
      </c>
      <c r="C29" s="520" t="s">
        <v>213</v>
      </c>
      <c r="D29" s="472">
        <v>1.127</v>
      </c>
      <c r="E29" s="522">
        <v>1.0489999999999999</v>
      </c>
      <c r="F29" s="523" t="s">
        <v>4166</v>
      </c>
      <c r="G29" s="524" t="s">
        <v>3663</v>
      </c>
      <c r="H29" s="525" t="s">
        <v>3666</v>
      </c>
      <c r="I29" s="474"/>
      <c r="J29" s="475" t="s">
        <v>4180</v>
      </c>
    </row>
    <row r="30" spans="1:10" ht="14.25" customHeight="1">
      <c r="A30" s="520" t="s">
        <v>221</v>
      </c>
      <c r="B30" s="521" t="s">
        <v>222</v>
      </c>
      <c r="C30" s="520" t="s">
        <v>213</v>
      </c>
      <c r="D30" s="472">
        <v>11.239000000000001</v>
      </c>
      <c r="E30" s="522">
        <v>10.695</v>
      </c>
      <c r="F30" s="523" t="s">
        <v>4166</v>
      </c>
      <c r="G30" s="524" t="s">
        <v>3663</v>
      </c>
      <c r="H30" s="525" t="s">
        <v>3666</v>
      </c>
      <c r="I30" s="474"/>
      <c r="J30" s="475" t="s">
        <v>4181</v>
      </c>
    </row>
    <row r="31" spans="1:10" ht="14.25" customHeight="1">
      <c r="A31" s="520" t="s">
        <v>223</v>
      </c>
      <c r="B31" s="521" t="s">
        <v>3674</v>
      </c>
      <c r="C31" s="520" t="s">
        <v>213</v>
      </c>
      <c r="D31" s="472">
        <v>0.313</v>
      </c>
      <c r="E31" s="522">
        <v>0.29799999999999999</v>
      </c>
      <c r="F31" s="523" t="s">
        <v>4166</v>
      </c>
      <c r="G31" s="526" t="s">
        <v>3668</v>
      </c>
      <c r="H31" s="525" t="s">
        <v>3669</v>
      </c>
      <c r="I31" s="474">
        <v>4016.93</v>
      </c>
      <c r="J31" s="475" t="s">
        <v>4182</v>
      </c>
    </row>
    <row r="32" spans="1:10" ht="14.25" customHeight="1">
      <c r="A32" s="520" t="s">
        <v>224</v>
      </c>
      <c r="B32" s="521" t="s">
        <v>3675</v>
      </c>
      <c r="C32" s="520" t="s">
        <v>213</v>
      </c>
      <c r="D32" s="472">
        <v>2.7509999999999999</v>
      </c>
      <c r="E32" s="522">
        <v>2.6190000000000002</v>
      </c>
      <c r="F32" s="523" t="s">
        <v>4166</v>
      </c>
      <c r="G32" s="526" t="s">
        <v>3668</v>
      </c>
      <c r="H32" s="525" t="s">
        <v>3669</v>
      </c>
      <c r="I32" s="474">
        <v>4016.93</v>
      </c>
      <c r="J32" s="475" t="s">
        <v>4183</v>
      </c>
    </row>
    <row r="33" spans="1:10" ht="14.25" customHeight="1">
      <c r="A33" s="520" t="s">
        <v>225</v>
      </c>
      <c r="B33" s="521" t="s">
        <v>226</v>
      </c>
      <c r="C33" s="520" t="s">
        <v>197</v>
      </c>
      <c r="D33" s="472">
        <v>39.515000000000001</v>
      </c>
      <c r="E33" s="522">
        <v>52.183</v>
      </c>
      <c r="F33" s="523" t="s">
        <v>4166</v>
      </c>
      <c r="G33" s="524" t="s">
        <v>3663</v>
      </c>
      <c r="H33" s="525" t="s">
        <v>3666</v>
      </c>
      <c r="I33" s="474"/>
      <c r="J33" s="475" t="s">
        <v>4184</v>
      </c>
    </row>
    <row r="34" spans="1:10" ht="14.25" customHeight="1">
      <c r="A34" s="520" t="s">
        <v>227</v>
      </c>
      <c r="B34" s="521" t="s">
        <v>228</v>
      </c>
      <c r="C34" s="520" t="s">
        <v>197</v>
      </c>
      <c r="D34" s="472">
        <v>73.894999999999996</v>
      </c>
      <c r="E34" s="522">
        <v>110.587</v>
      </c>
      <c r="F34" s="523" t="s">
        <v>4166</v>
      </c>
      <c r="G34" s="524" t="s">
        <v>3663</v>
      </c>
      <c r="H34" s="525" t="s">
        <v>3666</v>
      </c>
      <c r="I34" s="474"/>
      <c r="J34" s="475" t="s">
        <v>4185</v>
      </c>
    </row>
    <row r="35" spans="1:10" ht="14.25" customHeight="1">
      <c r="A35" s="520" t="s">
        <v>229</v>
      </c>
      <c r="B35" s="521" t="s">
        <v>230</v>
      </c>
      <c r="C35" s="520" t="s">
        <v>213</v>
      </c>
      <c r="D35" s="472">
        <v>32.765000000000001</v>
      </c>
      <c r="E35" s="522">
        <v>29.553000000000001</v>
      </c>
      <c r="F35" s="523">
        <v>64</v>
      </c>
      <c r="G35" s="524" t="s">
        <v>3663</v>
      </c>
      <c r="H35" s="525" t="s">
        <v>3666</v>
      </c>
      <c r="I35" s="474"/>
      <c r="J35" s="475" t="s">
        <v>4186</v>
      </c>
    </row>
    <row r="36" spans="1:10" ht="14.25" customHeight="1">
      <c r="A36" s="520" t="s">
        <v>231</v>
      </c>
      <c r="B36" s="521" t="s">
        <v>232</v>
      </c>
      <c r="C36" s="520" t="s">
        <v>213</v>
      </c>
      <c r="D36" s="472">
        <v>20.242000000000001</v>
      </c>
      <c r="E36" s="522">
        <v>18.88</v>
      </c>
      <c r="F36" s="523">
        <v>38</v>
      </c>
      <c r="G36" s="524" t="s">
        <v>3663</v>
      </c>
      <c r="H36" s="525" t="s">
        <v>3666</v>
      </c>
      <c r="I36" s="474"/>
      <c r="J36" s="475" t="s">
        <v>4187</v>
      </c>
    </row>
    <row r="37" spans="1:10" ht="14.25" customHeight="1">
      <c r="A37" s="520" t="s">
        <v>233</v>
      </c>
      <c r="B37" s="521" t="s">
        <v>234</v>
      </c>
      <c r="C37" s="520" t="s">
        <v>213</v>
      </c>
      <c r="D37" s="472">
        <v>0.89700000000000002</v>
      </c>
      <c r="E37" s="522">
        <v>0.84099999999999997</v>
      </c>
      <c r="F37" s="523">
        <v>0.75</v>
      </c>
      <c r="G37" s="524" t="s">
        <v>3663</v>
      </c>
      <c r="H37" s="525" t="s">
        <v>3666</v>
      </c>
      <c r="I37" s="474"/>
      <c r="J37" s="475" t="s">
        <v>4188</v>
      </c>
    </row>
    <row r="38" spans="1:10" ht="14.25" customHeight="1">
      <c r="A38" s="520" t="s">
        <v>235</v>
      </c>
      <c r="B38" s="521" t="s">
        <v>3676</v>
      </c>
      <c r="C38" s="520" t="s">
        <v>213</v>
      </c>
      <c r="D38" s="472">
        <v>0.40699999999999997</v>
      </c>
      <c r="E38" s="522">
        <v>0.38300000000000001</v>
      </c>
      <c r="F38" s="523">
        <v>1.64</v>
      </c>
      <c r="G38" s="526" t="s">
        <v>3668</v>
      </c>
      <c r="H38" s="525" t="s">
        <v>3669</v>
      </c>
      <c r="I38" s="474">
        <v>4016.93</v>
      </c>
      <c r="J38" s="475" t="s">
        <v>4189</v>
      </c>
    </row>
    <row r="39" spans="1:10" ht="14.25" customHeight="1">
      <c r="A39" s="520" t="s">
        <v>236</v>
      </c>
      <c r="B39" s="521" t="s">
        <v>237</v>
      </c>
      <c r="C39" s="520" t="s">
        <v>213</v>
      </c>
      <c r="D39" s="472">
        <v>2.1869999999999998</v>
      </c>
      <c r="E39" s="522">
        <v>2.0459999999999998</v>
      </c>
      <c r="F39" s="523">
        <v>4.26</v>
      </c>
      <c r="G39" s="527" t="s">
        <v>3662</v>
      </c>
      <c r="H39" s="525" t="s">
        <v>3666</v>
      </c>
      <c r="I39" s="474"/>
      <c r="J39" s="475" t="s">
        <v>4190</v>
      </c>
    </row>
    <row r="40" spans="1:10" ht="14.25" customHeight="1">
      <c r="A40" s="520" t="s">
        <v>238</v>
      </c>
      <c r="B40" s="521" t="s">
        <v>239</v>
      </c>
      <c r="C40" s="520" t="s">
        <v>213</v>
      </c>
      <c r="D40" s="472">
        <v>2.2200000000000002</v>
      </c>
      <c r="E40" s="522">
        <v>2.0649999999999999</v>
      </c>
      <c r="F40" s="523">
        <v>8.48</v>
      </c>
      <c r="G40" s="527" t="s">
        <v>3662</v>
      </c>
      <c r="H40" s="525" t="s">
        <v>3666</v>
      </c>
      <c r="I40" s="474"/>
      <c r="J40" s="475" t="s">
        <v>4191</v>
      </c>
    </row>
    <row r="41" spans="1:10" ht="14.25" customHeight="1">
      <c r="A41" s="520" t="s">
        <v>240</v>
      </c>
      <c r="B41" s="521" t="s">
        <v>241</v>
      </c>
      <c r="C41" s="520" t="s">
        <v>213</v>
      </c>
      <c r="D41" s="472">
        <v>1.06</v>
      </c>
      <c r="E41" s="522">
        <v>0.98599999999999999</v>
      </c>
      <c r="F41" s="523">
        <v>2.72</v>
      </c>
      <c r="G41" s="524" t="s">
        <v>3663</v>
      </c>
      <c r="H41" s="525" t="s">
        <v>3666</v>
      </c>
      <c r="I41" s="474"/>
      <c r="J41" s="475" t="s">
        <v>4192</v>
      </c>
    </row>
    <row r="42" spans="1:10" ht="14.25" customHeight="1">
      <c r="A42" s="520" t="s">
        <v>242</v>
      </c>
      <c r="B42" s="521" t="s">
        <v>243</v>
      </c>
      <c r="C42" s="520" t="s">
        <v>213</v>
      </c>
      <c r="D42" s="472">
        <v>1.06</v>
      </c>
      <c r="E42" s="522">
        <v>0.98599999999999999</v>
      </c>
      <c r="F42" s="523">
        <v>1.45</v>
      </c>
      <c r="G42" s="524" t="s">
        <v>3663</v>
      </c>
      <c r="H42" s="525" t="s">
        <v>3666</v>
      </c>
      <c r="I42" s="474"/>
      <c r="J42" s="475" t="s">
        <v>4193</v>
      </c>
    </row>
    <row r="43" spans="1:10" ht="14.25" customHeight="1">
      <c r="A43" s="520" t="s">
        <v>244</v>
      </c>
      <c r="B43" s="521" t="s">
        <v>245</v>
      </c>
      <c r="C43" s="520" t="s">
        <v>213</v>
      </c>
      <c r="D43" s="472">
        <v>1.06</v>
      </c>
      <c r="E43" s="522">
        <v>0.98599999999999999</v>
      </c>
      <c r="F43" s="523">
        <v>1.25</v>
      </c>
      <c r="G43" s="524" t="s">
        <v>3663</v>
      </c>
      <c r="H43" s="525" t="s">
        <v>3666</v>
      </c>
      <c r="I43" s="474"/>
      <c r="J43" s="475" t="s">
        <v>4194</v>
      </c>
    </row>
    <row r="44" spans="1:10" ht="14.25" customHeight="1">
      <c r="A44" s="520" t="s">
        <v>246</v>
      </c>
      <c r="B44" s="521" t="s">
        <v>247</v>
      </c>
      <c r="C44" s="520" t="s">
        <v>213</v>
      </c>
      <c r="D44" s="472">
        <v>1.06</v>
      </c>
      <c r="E44" s="522">
        <v>0.98599999999999999</v>
      </c>
      <c r="F44" s="523" t="s">
        <v>4166</v>
      </c>
      <c r="G44" s="524" t="s">
        <v>3663</v>
      </c>
      <c r="H44" s="525" t="s">
        <v>3666</v>
      </c>
      <c r="I44" s="474"/>
      <c r="J44" s="475" t="s">
        <v>4195</v>
      </c>
    </row>
    <row r="45" spans="1:10" ht="14.25" customHeight="1">
      <c r="A45" s="520" t="s">
        <v>248</v>
      </c>
      <c r="B45" s="521" t="s">
        <v>249</v>
      </c>
      <c r="C45" s="520" t="s">
        <v>213</v>
      </c>
      <c r="D45" s="472">
        <v>2.383</v>
      </c>
      <c r="E45" s="522">
        <v>2.2290000000000001</v>
      </c>
      <c r="F45" s="523" t="s">
        <v>4166</v>
      </c>
      <c r="G45" s="527" t="s">
        <v>3662</v>
      </c>
      <c r="H45" s="525" t="s">
        <v>3666</v>
      </c>
      <c r="I45" s="474"/>
      <c r="J45" s="475" t="s">
        <v>4196</v>
      </c>
    </row>
    <row r="46" spans="1:10" ht="14.25" customHeight="1">
      <c r="A46" s="520" t="s">
        <v>250</v>
      </c>
      <c r="B46" s="521" t="s">
        <v>251</v>
      </c>
      <c r="C46" s="520" t="s">
        <v>213</v>
      </c>
      <c r="D46" s="472">
        <v>12.145</v>
      </c>
      <c r="E46" s="522">
        <v>10.337999999999999</v>
      </c>
      <c r="F46" s="523">
        <v>26.2</v>
      </c>
      <c r="G46" s="524" t="s">
        <v>3663</v>
      </c>
      <c r="H46" s="525" t="s">
        <v>3666</v>
      </c>
      <c r="I46" s="474"/>
      <c r="J46" s="475" t="s">
        <v>4197</v>
      </c>
    </row>
    <row r="47" spans="1:10" ht="14.25" customHeight="1">
      <c r="A47" s="520" t="s">
        <v>252</v>
      </c>
      <c r="B47" s="521" t="s">
        <v>253</v>
      </c>
      <c r="C47" s="520" t="s">
        <v>197</v>
      </c>
      <c r="D47" s="472">
        <v>14.477</v>
      </c>
      <c r="E47" s="522">
        <v>12.515000000000001</v>
      </c>
      <c r="F47" s="523">
        <v>26.2</v>
      </c>
      <c r="G47" s="524" t="s">
        <v>3663</v>
      </c>
      <c r="H47" s="525" t="s">
        <v>3666</v>
      </c>
      <c r="I47" s="474"/>
      <c r="J47" s="475" t="s">
        <v>4198</v>
      </c>
    </row>
    <row r="48" spans="1:10" ht="14.25" customHeight="1">
      <c r="A48" s="520" t="s">
        <v>254</v>
      </c>
      <c r="B48" s="521" t="s">
        <v>255</v>
      </c>
      <c r="C48" s="520" t="s">
        <v>213</v>
      </c>
      <c r="D48" s="472">
        <v>1.06</v>
      </c>
      <c r="E48" s="522">
        <v>0.98599999999999999</v>
      </c>
      <c r="F48" s="523" t="s">
        <v>4166</v>
      </c>
      <c r="G48" s="524" t="s">
        <v>3663</v>
      </c>
      <c r="H48" s="525" t="s">
        <v>3666</v>
      </c>
      <c r="I48" s="474"/>
      <c r="J48" s="475" t="s">
        <v>4199</v>
      </c>
    </row>
    <row r="49" spans="1:10" ht="14.25" customHeight="1">
      <c r="A49" s="520" t="s">
        <v>3160</v>
      </c>
      <c r="B49" s="521" t="s">
        <v>3677</v>
      </c>
      <c r="C49" s="520" t="s">
        <v>213</v>
      </c>
      <c r="D49" s="472">
        <v>1.06</v>
      </c>
      <c r="E49" s="522">
        <v>0.98599999999999999</v>
      </c>
      <c r="F49" s="523" t="s">
        <v>4166</v>
      </c>
      <c r="G49" s="524" t="s">
        <v>3663</v>
      </c>
      <c r="H49" s="525" t="s">
        <v>3666</v>
      </c>
      <c r="I49" s="474"/>
      <c r="J49" s="475" t="s">
        <v>4200</v>
      </c>
    </row>
    <row r="50" spans="1:10" ht="14.25" customHeight="1">
      <c r="A50" s="520" t="s">
        <v>256</v>
      </c>
      <c r="B50" s="521" t="s">
        <v>257</v>
      </c>
      <c r="C50" s="520" t="s">
        <v>213</v>
      </c>
      <c r="D50" s="472">
        <v>2.7389999999999999</v>
      </c>
      <c r="E50" s="522">
        <v>2.5579999999999998</v>
      </c>
      <c r="F50" s="523" t="s">
        <v>4166</v>
      </c>
      <c r="G50" s="526" t="s">
        <v>3668</v>
      </c>
      <c r="H50" s="525" t="s">
        <v>3669</v>
      </c>
      <c r="I50" s="474">
        <v>4016.93</v>
      </c>
      <c r="J50" s="475" t="s">
        <v>4201</v>
      </c>
    </row>
    <row r="51" spans="1:10" ht="14.25" customHeight="1">
      <c r="A51" s="520" t="s">
        <v>258</v>
      </c>
      <c r="B51" s="521" t="s">
        <v>259</v>
      </c>
      <c r="C51" s="520" t="s">
        <v>213</v>
      </c>
      <c r="D51" s="472">
        <v>11.339</v>
      </c>
      <c r="E51" s="522">
        <v>10.584</v>
      </c>
      <c r="F51" s="523" t="s">
        <v>4166</v>
      </c>
      <c r="G51" s="524" t="s">
        <v>3663</v>
      </c>
      <c r="H51" s="525" t="s">
        <v>3678</v>
      </c>
      <c r="I51" s="474"/>
      <c r="J51" s="475" t="s">
        <v>4202</v>
      </c>
    </row>
    <row r="52" spans="1:10" ht="14.25" customHeight="1">
      <c r="A52" s="520" t="s">
        <v>260</v>
      </c>
      <c r="B52" s="521" t="s">
        <v>261</v>
      </c>
      <c r="C52" s="520" t="s">
        <v>213</v>
      </c>
      <c r="D52" s="472">
        <v>69.623000000000005</v>
      </c>
      <c r="E52" s="522">
        <v>63.576999999999998</v>
      </c>
      <c r="F52" s="523" t="s">
        <v>4166</v>
      </c>
      <c r="G52" s="524" t="s">
        <v>3663</v>
      </c>
      <c r="H52" s="525" t="s">
        <v>3678</v>
      </c>
      <c r="I52" s="474"/>
      <c r="J52" s="475" t="s">
        <v>4203</v>
      </c>
    </row>
    <row r="53" spans="1:10" ht="14.25" customHeight="1">
      <c r="A53" s="520" t="s">
        <v>262</v>
      </c>
      <c r="B53" s="521" t="s">
        <v>263</v>
      </c>
      <c r="C53" s="520" t="s">
        <v>213</v>
      </c>
      <c r="D53" s="472">
        <v>1.06</v>
      </c>
      <c r="E53" s="522">
        <v>0.98599999999999999</v>
      </c>
      <c r="F53" s="523" t="s">
        <v>4166</v>
      </c>
      <c r="G53" s="524" t="s">
        <v>3663</v>
      </c>
      <c r="H53" s="525" t="s">
        <v>3666</v>
      </c>
      <c r="I53" s="474"/>
      <c r="J53" s="475" t="s">
        <v>4204</v>
      </c>
    </row>
    <row r="54" spans="1:10" ht="14.25" customHeight="1">
      <c r="A54" s="520" t="s">
        <v>264</v>
      </c>
      <c r="B54" s="521" t="s">
        <v>265</v>
      </c>
      <c r="C54" s="520" t="s">
        <v>213</v>
      </c>
      <c r="D54" s="472">
        <v>32.765000000000001</v>
      </c>
      <c r="E54" s="522">
        <v>29.553000000000001</v>
      </c>
      <c r="F54" s="523" t="s">
        <v>4166</v>
      </c>
      <c r="G54" s="524" t="s">
        <v>3663</v>
      </c>
      <c r="H54" s="525" t="s">
        <v>3666</v>
      </c>
      <c r="I54" s="474"/>
      <c r="J54" s="475" t="s">
        <v>4205</v>
      </c>
    </row>
    <row r="55" spans="1:10" ht="14.25" customHeight="1">
      <c r="A55" s="520" t="s">
        <v>266</v>
      </c>
      <c r="B55" s="521" t="s">
        <v>267</v>
      </c>
      <c r="C55" s="520" t="s">
        <v>213</v>
      </c>
      <c r="D55" s="472">
        <v>35.087000000000003</v>
      </c>
      <c r="E55" s="522">
        <v>31.727</v>
      </c>
      <c r="F55" s="523" t="s">
        <v>4166</v>
      </c>
      <c r="G55" s="524" t="s">
        <v>3663</v>
      </c>
      <c r="H55" s="525" t="s">
        <v>3678</v>
      </c>
      <c r="I55" s="474"/>
      <c r="J55" s="475" t="s">
        <v>4206</v>
      </c>
    </row>
    <row r="56" spans="1:10" ht="14.25" customHeight="1">
      <c r="A56" s="520" t="s">
        <v>268</v>
      </c>
      <c r="B56" s="521" t="s">
        <v>269</v>
      </c>
      <c r="C56" s="520" t="s">
        <v>213</v>
      </c>
      <c r="D56" s="472">
        <v>32.765000000000001</v>
      </c>
      <c r="E56" s="522">
        <v>29.553000000000001</v>
      </c>
      <c r="F56" s="523">
        <v>72</v>
      </c>
      <c r="G56" s="524" t="s">
        <v>3663</v>
      </c>
      <c r="H56" s="525" t="s">
        <v>3666</v>
      </c>
      <c r="I56" s="474"/>
      <c r="J56" s="475" t="s">
        <v>4207</v>
      </c>
    </row>
    <row r="57" spans="1:10" ht="14.25" customHeight="1">
      <c r="A57" s="520" t="s">
        <v>270</v>
      </c>
      <c r="B57" s="521" t="s">
        <v>271</v>
      </c>
      <c r="C57" s="520" t="s">
        <v>213</v>
      </c>
      <c r="D57" s="472">
        <v>20.242000000000001</v>
      </c>
      <c r="E57" s="522">
        <v>18.88</v>
      </c>
      <c r="F57" s="523">
        <v>45.6</v>
      </c>
      <c r="G57" s="524" t="s">
        <v>3663</v>
      </c>
      <c r="H57" s="525" t="s">
        <v>3666</v>
      </c>
      <c r="I57" s="474"/>
      <c r="J57" s="475" t="s">
        <v>4208</v>
      </c>
    </row>
    <row r="58" spans="1:10" ht="14.25" customHeight="1">
      <c r="A58" s="520" t="s">
        <v>272</v>
      </c>
      <c r="B58" s="521" t="s">
        <v>273</v>
      </c>
      <c r="C58" s="520" t="s">
        <v>213</v>
      </c>
      <c r="D58" s="472">
        <v>32.765000000000001</v>
      </c>
      <c r="E58" s="522">
        <v>29.553000000000001</v>
      </c>
      <c r="F58" s="523">
        <v>45.6</v>
      </c>
      <c r="G58" s="524" t="s">
        <v>3663</v>
      </c>
      <c r="H58" s="525" t="s">
        <v>3666</v>
      </c>
      <c r="I58" s="474"/>
      <c r="J58" s="475" t="s">
        <v>4209</v>
      </c>
    </row>
    <row r="59" spans="1:10" ht="14.25" customHeight="1">
      <c r="A59" s="520" t="s">
        <v>275</v>
      </c>
      <c r="B59" s="521" t="s">
        <v>276</v>
      </c>
      <c r="C59" s="520" t="s">
        <v>213</v>
      </c>
      <c r="D59" s="472">
        <v>35.087000000000003</v>
      </c>
      <c r="E59" s="522">
        <v>31.727</v>
      </c>
      <c r="F59" s="523">
        <v>72</v>
      </c>
      <c r="G59" s="524" t="s">
        <v>3663</v>
      </c>
      <c r="H59" s="525" t="s">
        <v>3678</v>
      </c>
      <c r="I59" s="474"/>
      <c r="J59" s="475" t="s">
        <v>4210</v>
      </c>
    </row>
    <row r="60" spans="1:10" ht="14.25" customHeight="1">
      <c r="A60" s="520" t="s">
        <v>277</v>
      </c>
      <c r="B60" s="521" t="s">
        <v>278</v>
      </c>
      <c r="C60" s="520" t="s">
        <v>213</v>
      </c>
      <c r="D60" s="472">
        <v>32.765000000000001</v>
      </c>
      <c r="E60" s="522">
        <v>29.553000000000001</v>
      </c>
      <c r="F60" s="523">
        <v>73.06</v>
      </c>
      <c r="G60" s="524" t="s">
        <v>3663</v>
      </c>
      <c r="H60" s="525" t="s">
        <v>3666</v>
      </c>
      <c r="I60" s="474"/>
      <c r="J60" s="475" t="s">
        <v>4211</v>
      </c>
    </row>
    <row r="61" spans="1:10" ht="14.25" customHeight="1">
      <c r="A61" s="520" t="s">
        <v>279</v>
      </c>
      <c r="B61" s="521" t="s">
        <v>280</v>
      </c>
      <c r="C61" s="520" t="s">
        <v>213</v>
      </c>
      <c r="D61" s="472">
        <v>20.242000000000001</v>
      </c>
      <c r="E61" s="522">
        <v>18.88</v>
      </c>
      <c r="F61" s="523">
        <v>47.2</v>
      </c>
      <c r="G61" s="524" t="s">
        <v>3663</v>
      </c>
      <c r="H61" s="525" t="s">
        <v>3666</v>
      </c>
      <c r="I61" s="474"/>
      <c r="J61" s="475" t="s">
        <v>4212</v>
      </c>
    </row>
    <row r="62" spans="1:10" ht="14.25" customHeight="1">
      <c r="A62" s="520" t="s">
        <v>3679</v>
      </c>
      <c r="B62" s="521" t="s">
        <v>274</v>
      </c>
      <c r="C62" s="520" t="s">
        <v>213</v>
      </c>
      <c r="D62" s="472">
        <v>32.765000000000001</v>
      </c>
      <c r="E62" s="522">
        <v>29.553000000000001</v>
      </c>
      <c r="F62" s="523">
        <v>47.2</v>
      </c>
      <c r="G62" s="524" t="s">
        <v>3663</v>
      </c>
      <c r="H62" s="525" t="s">
        <v>3666</v>
      </c>
      <c r="I62" s="474"/>
      <c r="J62" s="475" t="s">
        <v>4213</v>
      </c>
    </row>
    <row r="63" spans="1:10" ht="14.25" customHeight="1">
      <c r="A63" s="520" t="s">
        <v>281</v>
      </c>
      <c r="B63" s="521" t="s">
        <v>282</v>
      </c>
      <c r="C63" s="520" t="s">
        <v>213</v>
      </c>
      <c r="D63" s="472">
        <v>35.087000000000003</v>
      </c>
      <c r="E63" s="522">
        <v>31.727</v>
      </c>
      <c r="F63" s="523" t="s">
        <v>4166</v>
      </c>
      <c r="G63" s="524" t="s">
        <v>3663</v>
      </c>
      <c r="H63" s="525" t="s">
        <v>3678</v>
      </c>
      <c r="I63" s="474"/>
      <c r="J63" s="475" t="s">
        <v>4214</v>
      </c>
    </row>
    <row r="64" spans="1:10" ht="14.25" customHeight="1">
      <c r="A64" s="520" t="s">
        <v>283</v>
      </c>
      <c r="B64" s="521" t="s">
        <v>284</v>
      </c>
      <c r="C64" s="520" t="s">
        <v>213</v>
      </c>
      <c r="D64" s="472">
        <v>25.744</v>
      </c>
      <c r="E64" s="522">
        <v>23.007000000000001</v>
      </c>
      <c r="F64" s="523">
        <v>51</v>
      </c>
      <c r="G64" s="524" t="s">
        <v>3663</v>
      </c>
      <c r="H64" s="525" t="s">
        <v>3666</v>
      </c>
      <c r="I64" s="474"/>
      <c r="J64" s="475" t="s">
        <v>4215</v>
      </c>
    </row>
    <row r="65" spans="1:10" ht="14.25" customHeight="1">
      <c r="A65" s="520" t="s">
        <v>285</v>
      </c>
      <c r="B65" s="521" t="s">
        <v>286</v>
      </c>
      <c r="C65" s="520" t="s">
        <v>213</v>
      </c>
      <c r="D65" s="472">
        <v>16.193999999999999</v>
      </c>
      <c r="E65" s="522">
        <v>15.090999999999999</v>
      </c>
      <c r="F65" s="523" t="s">
        <v>4166</v>
      </c>
      <c r="G65" s="524" t="s">
        <v>3663</v>
      </c>
      <c r="H65" s="525" t="s">
        <v>3666</v>
      </c>
      <c r="I65" s="474"/>
      <c r="J65" s="475" t="s">
        <v>4216</v>
      </c>
    </row>
    <row r="66" spans="1:10" ht="14.25" customHeight="1">
      <c r="A66" s="520" t="s">
        <v>287</v>
      </c>
      <c r="B66" s="521" t="s">
        <v>288</v>
      </c>
      <c r="C66" s="520" t="s">
        <v>213</v>
      </c>
      <c r="D66" s="472">
        <v>8.1319999999999997</v>
      </c>
      <c r="E66" s="522">
        <v>10.337999999999999</v>
      </c>
      <c r="F66" s="523" t="s">
        <v>4166</v>
      </c>
      <c r="G66" s="524" t="s">
        <v>3663</v>
      </c>
      <c r="H66" s="525" t="s">
        <v>3666</v>
      </c>
      <c r="I66" s="474"/>
      <c r="J66" s="475" t="s">
        <v>4217</v>
      </c>
    </row>
    <row r="67" spans="1:10" ht="14.25" customHeight="1">
      <c r="A67" s="520" t="s">
        <v>289</v>
      </c>
      <c r="B67" s="521" t="s">
        <v>3680</v>
      </c>
      <c r="C67" s="520" t="s">
        <v>197</v>
      </c>
      <c r="D67" s="472">
        <v>10.468</v>
      </c>
      <c r="E67" s="522">
        <v>12.515000000000001</v>
      </c>
      <c r="F67" s="523" t="s">
        <v>4166</v>
      </c>
      <c r="G67" s="524" t="s">
        <v>3663</v>
      </c>
      <c r="H67" s="525" t="s">
        <v>3666</v>
      </c>
      <c r="I67" s="474"/>
      <c r="J67" s="475" t="s">
        <v>4218</v>
      </c>
    </row>
    <row r="68" spans="1:10" ht="14.25" customHeight="1">
      <c r="A68" s="520" t="s">
        <v>290</v>
      </c>
      <c r="B68" s="521" t="s">
        <v>291</v>
      </c>
      <c r="C68" s="520" t="s">
        <v>213</v>
      </c>
      <c r="D68" s="472">
        <v>25.744</v>
      </c>
      <c r="E68" s="522">
        <v>23.007000000000001</v>
      </c>
      <c r="F68" s="523" t="s">
        <v>4166</v>
      </c>
      <c r="G68" s="524" t="s">
        <v>3663</v>
      </c>
      <c r="H68" s="525" t="s">
        <v>3666</v>
      </c>
      <c r="I68" s="474"/>
      <c r="J68" s="475" t="s">
        <v>4219</v>
      </c>
    </row>
    <row r="69" spans="1:10" ht="14.25" customHeight="1">
      <c r="A69" s="520" t="s">
        <v>292</v>
      </c>
      <c r="B69" s="521" t="s">
        <v>293</v>
      </c>
      <c r="C69" s="520" t="s">
        <v>213</v>
      </c>
      <c r="D69" s="472">
        <v>16.193999999999999</v>
      </c>
      <c r="E69" s="522">
        <v>15.090999999999999</v>
      </c>
      <c r="F69" s="523" t="s">
        <v>4166</v>
      </c>
      <c r="G69" s="524" t="s">
        <v>3663</v>
      </c>
      <c r="H69" s="525" t="s">
        <v>3666</v>
      </c>
      <c r="I69" s="474"/>
      <c r="J69" s="475" t="s">
        <v>4220</v>
      </c>
    </row>
    <row r="70" spans="1:10" ht="14.25" customHeight="1">
      <c r="A70" s="520" t="s">
        <v>49</v>
      </c>
      <c r="B70" s="521" t="s">
        <v>294</v>
      </c>
      <c r="C70" s="520" t="s">
        <v>213</v>
      </c>
      <c r="D70" s="472">
        <v>4.1630000000000003</v>
      </c>
      <c r="E70" s="522">
        <v>3.8740000000000001</v>
      </c>
      <c r="F70" s="523" t="s">
        <v>4166</v>
      </c>
      <c r="G70" s="524" t="s">
        <v>3663</v>
      </c>
      <c r="H70" s="525" t="s">
        <v>3666</v>
      </c>
      <c r="I70" s="474"/>
      <c r="J70" s="475" t="s">
        <v>4221</v>
      </c>
    </row>
    <row r="71" spans="1:10" ht="14.25" customHeight="1">
      <c r="A71" s="520" t="s">
        <v>295</v>
      </c>
      <c r="B71" s="521" t="s">
        <v>296</v>
      </c>
      <c r="C71" s="520" t="s">
        <v>213</v>
      </c>
      <c r="D71" s="472">
        <v>3.673</v>
      </c>
      <c r="E71" s="522">
        <v>3.4239999999999999</v>
      </c>
      <c r="F71" s="523" t="s">
        <v>4166</v>
      </c>
      <c r="G71" s="524" t="s">
        <v>3663</v>
      </c>
      <c r="H71" s="525" t="s">
        <v>3666</v>
      </c>
      <c r="I71" s="474"/>
      <c r="J71" s="475" t="s">
        <v>4222</v>
      </c>
    </row>
    <row r="72" spans="1:10" ht="14.25" customHeight="1">
      <c r="A72" s="520" t="s">
        <v>297</v>
      </c>
      <c r="B72" s="521" t="s">
        <v>298</v>
      </c>
      <c r="C72" s="520" t="s">
        <v>213</v>
      </c>
      <c r="D72" s="472">
        <v>6.4870000000000001</v>
      </c>
      <c r="E72" s="522">
        <v>6.0490000000000004</v>
      </c>
      <c r="F72" s="523" t="s">
        <v>4166</v>
      </c>
      <c r="G72" s="524" t="s">
        <v>3663</v>
      </c>
      <c r="H72" s="525" t="s">
        <v>3666</v>
      </c>
      <c r="I72" s="474"/>
      <c r="J72" s="475" t="s">
        <v>4223</v>
      </c>
    </row>
    <row r="73" spans="1:10" ht="14.25" customHeight="1">
      <c r="A73" s="520" t="s">
        <v>54</v>
      </c>
      <c r="B73" s="521" t="s">
        <v>299</v>
      </c>
      <c r="C73" s="520" t="s">
        <v>213</v>
      </c>
      <c r="D73" s="472">
        <v>4.1630000000000003</v>
      </c>
      <c r="E73" s="522">
        <v>3.8740000000000001</v>
      </c>
      <c r="F73" s="523">
        <v>11</v>
      </c>
      <c r="G73" s="524" t="s">
        <v>3663</v>
      </c>
      <c r="H73" s="525" t="s">
        <v>3666</v>
      </c>
      <c r="I73" s="474"/>
      <c r="J73" s="475" t="s">
        <v>4224</v>
      </c>
    </row>
    <row r="74" spans="1:10" ht="14.25" customHeight="1">
      <c r="A74" s="520" t="s">
        <v>300</v>
      </c>
      <c r="B74" s="521" t="s">
        <v>301</v>
      </c>
      <c r="C74" s="520" t="s">
        <v>181</v>
      </c>
      <c r="D74" s="472">
        <v>3.673</v>
      </c>
      <c r="E74" s="522">
        <v>3.4239999999999999</v>
      </c>
      <c r="F74" s="523" t="s">
        <v>4166</v>
      </c>
      <c r="G74" s="524" t="s">
        <v>3663</v>
      </c>
      <c r="H74" s="525" t="s">
        <v>3666</v>
      </c>
      <c r="I74" s="474"/>
      <c r="J74" s="475" t="s">
        <v>4225</v>
      </c>
    </row>
    <row r="75" spans="1:10" ht="14.25" customHeight="1">
      <c r="A75" s="520" t="s">
        <v>302</v>
      </c>
      <c r="B75" s="521" t="s">
        <v>303</v>
      </c>
      <c r="C75" s="520" t="s">
        <v>213</v>
      </c>
      <c r="D75" s="472">
        <v>6.4870000000000001</v>
      </c>
      <c r="E75" s="522">
        <v>6.0490000000000004</v>
      </c>
      <c r="F75" s="523">
        <v>11</v>
      </c>
      <c r="G75" s="524" t="s">
        <v>3663</v>
      </c>
      <c r="H75" s="525" t="s">
        <v>3666</v>
      </c>
      <c r="I75" s="474"/>
      <c r="J75" s="475" t="s">
        <v>4226</v>
      </c>
    </row>
    <row r="76" spans="1:10" ht="14.25" customHeight="1">
      <c r="A76" s="520" t="s">
        <v>55</v>
      </c>
      <c r="B76" s="521" t="s">
        <v>304</v>
      </c>
      <c r="C76" s="520" t="s">
        <v>213</v>
      </c>
      <c r="D76" s="472">
        <v>4.1630000000000003</v>
      </c>
      <c r="E76" s="522">
        <v>3.8740000000000001</v>
      </c>
      <c r="F76" s="523">
        <v>11.6</v>
      </c>
      <c r="G76" s="524" t="s">
        <v>3663</v>
      </c>
      <c r="H76" s="525" t="s">
        <v>3666</v>
      </c>
      <c r="I76" s="474"/>
      <c r="J76" s="475" t="s">
        <v>4227</v>
      </c>
    </row>
    <row r="77" spans="1:10" ht="14.25" customHeight="1">
      <c r="A77" s="520" t="s">
        <v>305</v>
      </c>
      <c r="B77" s="521" t="s">
        <v>306</v>
      </c>
      <c r="C77" s="520" t="s">
        <v>181</v>
      </c>
      <c r="D77" s="472">
        <v>3.673</v>
      </c>
      <c r="E77" s="522">
        <v>3.4239999999999999</v>
      </c>
      <c r="F77" s="523" t="s">
        <v>4166</v>
      </c>
      <c r="G77" s="524" t="s">
        <v>3663</v>
      </c>
      <c r="H77" s="525" t="s">
        <v>3666</v>
      </c>
      <c r="I77" s="474"/>
      <c r="J77" s="475" t="s">
        <v>4228</v>
      </c>
    </row>
    <row r="78" spans="1:10" ht="14.25" customHeight="1">
      <c r="A78" s="520" t="s">
        <v>307</v>
      </c>
      <c r="B78" s="521" t="s">
        <v>308</v>
      </c>
      <c r="C78" s="520" t="s">
        <v>213</v>
      </c>
      <c r="D78" s="472">
        <v>6.4870000000000001</v>
      </c>
      <c r="E78" s="522">
        <v>6.0490000000000004</v>
      </c>
      <c r="F78" s="523" t="s">
        <v>4166</v>
      </c>
      <c r="G78" s="524" t="s">
        <v>3663</v>
      </c>
      <c r="H78" s="525" t="s">
        <v>3666</v>
      </c>
      <c r="I78" s="474"/>
      <c r="J78" s="475" t="s">
        <v>4229</v>
      </c>
    </row>
    <row r="79" spans="1:10" ht="14.25" customHeight="1">
      <c r="A79" s="520" t="s">
        <v>56</v>
      </c>
      <c r="B79" s="521" t="s">
        <v>309</v>
      </c>
      <c r="C79" s="520" t="s">
        <v>213</v>
      </c>
      <c r="D79" s="472">
        <v>4.1630000000000003</v>
      </c>
      <c r="E79" s="522">
        <v>3.8740000000000001</v>
      </c>
      <c r="F79" s="523">
        <v>14.6</v>
      </c>
      <c r="G79" s="524" t="s">
        <v>3663</v>
      </c>
      <c r="H79" s="525" t="s">
        <v>3666</v>
      </c>
      <c r="I79" s="474"/>
      <c r="J79" s="475" t="s">
        <v>4230</v>
      </c>
    </row>
    <row r="80" spans="1:10" ht="14.25" customHeight="1">
      <c r="A80" s="520" t="s">
        <v>310</v>
      </c>
      <c r="B80" s="521" t="s">
        <v>311</v>
      </c>
      <c r="C80" s="520" t="s">
        <v>181</v>
      </c>
      <c r="D80" s="472">
        <v>3.673</v>
      </c>
      <c r="E80" s="522">
        <v>3.4239999999999999</v>
      </c>
      <c r="F80" s="523" t="s">
        <v>4166</v>
      </c>
      <c r="G80" s="524" t="s">
        <v>3663</v>
      </c>
      <c r="H80" s="525" t="s">
        <v>3666</v>
      </c>
      <c r="I80" s="474"/>
      <c r="J80" s="475" t="s">
        <v>4231</v>
      </c>
    </row>
    <row r="81" spans="1:10" ht="14.25" customHeight="1">
      <c r="A81" s="520" t="s">
        <v>312</v>
      </c>
      <c r="B81" s="521" t="s">
        <v>313</v>
      </c>
      <c r="C81" s="520" t="s">
        <v>213</v>
      </c>
      <c r="D81" s="472">
        <v>6.4870000000000001</v>
      </c>
      <c r="E81" s="522">
        <v>6.0490000000000004</v>
      </c>
      <c r="F81" s="523" t="s">
        <v>4166</v>
      </c>
      <c r="G81" s="524" t="s">
        <v>3663</v>
      </c>
      <c r="H81" s="525" t="s">
        <v>3666</v>
      </c>
      <c r="I81" s="474"/>
      <c r="J81" s="475" t="s">
        <v>4232</v>
      </c>
    </row>
    <row r="82" spans="1:10" ht="14.25" customHeight="1">
      <c r="A82" s="520" t="s">
        <v>57</v>
      </c>
      <c r="B82" s="521" t="s">
        <v>314</v>
      </c>
      <c r="C82" s="520" t="s">
        <v>213</v>
      </c>
      <c r="D82" s="472">
        <v>4.5789999999999997</v>
      </c>
      <c r="E82" s="522">
        <v>4.2619999999999996</v>
      </c>
      <c r="F82" s="523">
        <v>18.3</v>
      </c>
      <c r="G82" s="524" t="s">
        <v>3663</v>
      </c>
      <c r="H82" s="525" t="s">
        <v>3666</v>
      </c>
      <c r="I82" s="474"/>
      <c r="J82" s="475" t="s">
        <v>4233</v>
      </c>
    </row>
    <row r="83" spans="1:10" ht="14.25" customHeight="1">
      <c r="A83" s="520" t="s">
        <v>315</v>
      </c>
      <c r="B83" s="521" t="s">
        <v>316</v>
      </c>
      <c r="C83" s="520" t="s">
        <v>181</v>
      </c>
      <c r="D83" s="472">
        <v>4.0389999999999997</v>
      </c>
      <c r="E83" s="522">
        <v>3.7669999999999999</v>
      </c>
      <c r="F83" s="523" t="s">
        <v>4166</v>
      </c>
      <c r="G83" s="524" t="s">
        <v>3663</v>
      </c>
      <c r="H83" s="525" t="s">
        <v>3666</v>
      </c>
      <c r="I83" s="474"/>
      <c r="J83" s="475" t="s">
        <v>4234</v>
      </c>
    </row>
    <row r="84" spans="1:10" ht="14.25" customHeight="1">
      <c r="A84" s="520" t="s">
        <v>317</v>
      </c>
      <c r="B84" s="521" t="s">
        <v>318</v>
      </c>
      <c r="C84" s="520" t="s">
        <v>213</v>
      </c>
      <c r="D84" s="472">
        <v>7.1349999999999998</v>
      </c>
      <c r="E84" s="522">
        <v>6.6539999999999999</v>
      </c>
      <c r="F84" s="523">
        <v>18.3</v>
      </c>
      <c r="G84" s="524" t="s">
        <v>3663</v>
      </c>
      <c r="H84" s="525" t="s">
        <v>3666</v>
      </c>
      <c r="I84" s="474"/>
      <c r="J84" s="475" t="s">
        <v>4235</v>
      </c>
    </row>
    <row r="85" spans="1:10" ht="14.25" customHeight="1">
      <c r="A85" s="520" t="s">
        <v>74</v>
      </c>
      <c r="B85" s="521" t="s">
        <v>319</v>
      </c>
      <c r="C85" s="520" t="s">
        <v>213</v>
      </c>
      <c r="D85" s="472">
        <v>7.3250000000000002</v>
      </c>
      <c r="E85" s="522">
        <v>6.923</v>
      </c>
      <c r="F85" s="523">
        <v>14.76</v>
      </c>
      <c r="G85" s="524" t="s">
        <v>3663</v>
      </c>
      <c r="H85" s="525" t="s">
        <v>3666</v>
      </c>
      <c r="I85" s="474"/>
      <c r="J85" s="475" t="s">
        <v>4236</v>
      </c>
    </row>
    <row r="86" spans="1:10" ht="14.25" customHeight="1">
      <c r="A86" s="520" t="s">
        <v>320</v>
      </c>
      <c r="B86" s="521" t="s">
        <v>321</v>
      </c>
      <c r="C86" s="520" t="s">
        <v>181</v>
      </c>
      <c r="D86" s="472">
        <v>3.673</v>
      </c>
      <c r="E86" s="522">
        <v>3.4239999999999999</v>
      </c>
      <c r="F86" s="523" t="s">
        <v>4166</v>
      </c>
      <c r="G86" s="524" t="s">
        <v>3663</v>
      </c>
      <c r="H86" s="525" t="s">
        <v>3666</v>
      </c>
      <c r="I86" s="474"/>
      <c r="J86" s="475" t="s">
        <v>4237</v>
      </c>
    </row>
    <row r="87" spans="1:10" ht="14.25" customHeight="1">
      <c r="A87" s="520" t="s">
        <v>322</v>
      </c>
      <c r="B87" s="521" t="s">
        <v>323</v>
      </c>
      <c r="C87" s="520" t="s">
        <v>213</v>
      </c>
      <c r="D87" s="472">
        <v>13.817</v>
      </c>
      <c r="E87" s="522">
        <v>12.916</v>
      </c>
      <c r="F87" s="523">
        <v>14.76</v>
      </c>
      <c r="G87" s="524" t="s">
        <v>3663</v>
      </c>
      <c r="H87" s="525" t="s">
        <v>3666</v>
      </c>
      <c r="I87" s="474"/>
      <c r="J87" s="475" t="s">
        <v>4238</v>
      </c>
    </row>
    <row r="88" spans="1:10" ht="14.25" customHeight="1">
      <c r="A88" s="520" t="s">
        <v>76</v>
      </c>
      <c r="B88" s="521" t="s">
        <v>324</v>
      </c>
      <c r="C88" s="520" t="s">
        <v>213</v>
      </c>
      <c r="D88" s="472">
        <v>8.1430000000000007</v>
      </c>
      <c r="E88" s="522">
        <v>7.6369999999999996</v>
      </c>
      <c r="F88" s="523">
        <v>15</v>
      </c>
      <c r="G88" s="524" t="s">
        <v>3663</v>
      </c>
      <c r="H88" s="525" t="s">
        <v>3666</v>
      </c>
      <c r="I88" s="474"/>
      <c r="J88" s="475" t="s">
        <v>4239</v>
      </c>
    </row>
    <row r="89" spans="1:10" ht="14.25" customHeight="1">
      <c r="A89" s="520" t="s">
        <v>325</v>
      </c>
      <c r="B89" s="521" t="s">
        <v>326</v>
      </c>
      <c r="C89" s="520" t="s">
        <v>181</v>
      </c>
      <c r="D89" s="472">
        <v>3.673</v>
      </c>
      <c r="E89" s="522">
        <v>3.4239999999999999</v>
      </c>
      <c r="F89" s="523" t="s">
        <v>4166</v>
      </c>
      <c r="G89" s="524" t="s">
        <v>3663</v>
      </c>
      <c r="H89" s="525" t="s">
        <v>3666</v>
      </c>
      <c r="I89" s="474"/>
      <c r="J89" s="475" t="s">
        <v>4240</v>
      </c>
    </row>
    <row r="90" spans="1:10" ht="14.25" customHeight="1">
      <c r="A90" s="520" t="s">
        <v>327</v>
      </c>
      <c r="B90" s="521" t="s">
        <v>328</v>
      </c>
      <c r="C90" s="520" t="s">
        <v>213</v>
      </c>
      <c r="D90" s="472">
        <v>14.635999999999999</v>
      </c>
      <c r="E90" s="522">
        <v>13.651</v>
      </c>
      <c r="F90" s="523" t="s">
        <v>4166</v>
      </c>
      <c r="G90" s="524" t="s">
        <v>3663</v>
      </c>
      <c r="H90" s="525" t="s">
        <v>3666</v>
      </c>
      <c r="I90" s="474"/>
      <c r="J90" s="475" t="s">
        <v>4241</v>
      </c>
    </row>
    <row r="91" spans="1:10" ht="14.25" customHeight="1">
      <c r="A91" s="520" t="s">
        <v>75</v>
      </c>
      <c r="B91" s="521" t="s">
        <v>329</v>
      </c>
      <c r="C91" s="520" t="s">
        <v>213</v>
      </c>
      <c r="D91" s="472">
        <v>8.1430000000000007</v>
      </c>
      <c r="E91" s="522">
        <v>7.6369999999999996</v>
      </c>
      <c r="F91" s="523" t="s">
        <v>4166</v>
      </c>
      <c r="G91" s="524" t="s">
        <v>3663</v>
      </c>
      <c r="H91" s="525" t="s">
        <v>3666</v>
      </c>
      <c r="I91" s="474"/>
      <c r="J91" s="475" t="s">
        <v>4242</v>
      </c>
    </row>
    <row r="92" spans="1:10" ht="14.25" customHeight="1">
      <c r="A92" s="520" t="s">
        <v>330</v>
      </c>
      <c r="B92" s="521" t="s">
        <v>331</v>
      </c>
      <c r="C92" s="520" t="s">
        <v>213</v>
      </c>
      <c r="D92" s="472">
        <v>14.635999999999999</v>
      </c>
      <c r="E92" s="522">
        <v>13.651</v>
      </c>
      <c r="F92" s="523" t="s">
        <v>4166</v>
      </c>
      <c r="G92" s="524" t="s">
        <v>3663</v>
      </c>
      <c r="H92" s="525" t="s">
        <v>3666</v>
      </c>
      <c r="I92" s="474"/>
      <c r="J92" s="475" t="s">
        <v>4243</v>
      </c>
    </row>
    <row r="93" spans="1:10" ht="14.25" customHeight="1">
      <c r="A93" s="520" t="s">
        <v>4244</v>
      </c>
      <c r="B93" s="521" t="s">
        <v>4245</v>
      </c>
      <c r="C93" s="520" t="s">
        <v>213</v>
      </c>
      <c r="D93" s="472">
        <v>0</v>
      </c>
      <c r="E93" s="522">
        <v>0</v>
      </c>
      <c r="F93" s="523">
        <v>14.76</v>
      </c>
      <c r="G93" s="524" t="s">
        <v>3663</v>
      </c>
      <c r="H93" s="525" t="s">
        <v>3666</v>
      </c>
      <c r="I93" s="474"/>
      <c r="J93" s="475" t="s">
        <v>4236</v>
      </c>
    </row>
    <row r="94" spans="1:10" ht="14.25" customHeight="1">
      <c r="A94" s="520" t="s">
        <v>4246</v>
      </c>
      <c r="B94" s="521" t="s">
        <v>4247</v>
      </c>
      <c r="C94" s="520" t="s">
        <v>181</v>
      </c>
      <c r="D94" s="472">
        <v>0</v>
      </c>
      <c r="E94" s="522">
        <v>0</v>
      </c>
      <c r="F94" s="523" t="s">
        <v>4166</v>
      </c>
      <c r="G94" s="524" t="s">
        <v>3663</v>
      </c>
      <c r="H94" s="525" t="s">
        <v>3666</v>
      </c>
      <c r="I94" s="474"/>
      <c r="J94" s="475" t="s">
        <v>4237</v>
      </c>
    </row>
    <row r="95" spans="1:10" ht="14.25" customHeight="1">
      <c r="A95" s="520" t="s">
        <v>4248</v>
      </c>
      <c r="B95" s="521" t="s">
        <v>4249</v>
      </c>
      <c r="C95" s="520" t="s">
        <v>213</v>
      </c>
      <c r="D95" s="472">
        <v>0</v>
      </c>
      <c r="E95" s="522">
        <v>0</v>
      </c>
      <c r="F95" s="523">
        <v>14.76</v>
      </c>
      <c r="G95" s="524" t="s">
        <v>3663</v>
      </c>
      <c r="H95" s="525" t="s">
        <v>3666</v>
      </c>
      <c r="I95" s="474"/>
      <c r="J95" s="475" t="s">
        <v>4238</v>
      </c>
    </row>
    <row r="96" spans="1:10" ht="14.25" customHeight="1">
      <c r="A96" s="520" t="s">
        <v>58</v>
      </c>
      <c r="B96" s="521" t="s">
        <v>332</v>
      </c>
      <c r="C96" s="520" t="s">
        <v>213</v>
      </c>
      <c r="D96" s="472">
        <v>4.1630000000000003</v>
      </c>
      <c r="E96" s="522">
        <v>3.8740000000000001</v>
      </c>
      <c r="F96" s="523">
        <v>12.8</v>
      </c>
      <c r="G96" s="524" t="s">
        <v>3663</v>
      </c>
      <c r="H96" s="525" t="s">
        <v>3666</v>
      </c>
      <c r="I96" s="474"/>
      <c r="J96" s="475" t="s">
        <v>4250</v>
      </c>
    </row>
    <row r="97" spans="1:10" ht="14.25" customHeight="1">
      <c r="A97" s="520" t="s">
        <v>333</v>
      </c>
      <c r="B97" s="521" t="s">
        <v>334</v>
      </c>
      <c r="C97" s="520" t="s">
        <v>181</v>
      </c>
      <c r="D97" s="472">
        <v>3.673</v>
      </c>
      <c r="E97" s="522">
        <v>3.4239999999999999</v>
      </c>
      <c r="F97" s="523" t="s">
        <v>4166</v>
      </c>
      <c r="G97" s="524" t="s">
        <v>3663</v>
      </c>
      <c r="H97" s="525" t="s">
        <v>3666</v>
      </c>
      <c r="I97" s="474"/>
      <c r="J97" s="475" t="s">
        <v>4251</v>
      </c>
    </row>
    <row r="98" spans="1:10" ht="14.25" customHeight="1">
      <c r="A98" s="520" t="s">
        <v>335</v>
      </c>
      <c r="B98" s="521" t="s">
        <v>336</v>
      </c>
      <c r="C98" s="520" t="s">
        <v>213</v>
      </c>
      <c r="D98" s="472">
        <v>6.4870000000000001</v>
      </c>
      <c r="E98" s="522">
        <v>6.0490000000000004</v>
      </c>
      <c r="F98" s="523" t="s">
        <v>4166</v>
      </c>
      <c r="G98" s="524" t="s">
        <v>3663</v>
      </c>
      <c r="H98" s="525" t="s">
        <v>3666</v>
      </c>
      <c r="I98" s="474"/>
      <c r="J98" s="475" t="s">
        <v>4252</v>
      </c>
    </row>
    <row r="99" spans="1:10" ht="14.25" customHeight="1">
      <c r="A99" s="520" t="s">
        <v>59</v>
      </c>
      <c r="B99" s="521" t="s">
        <v>337</v>
      </c>
      <c r="C99" s="520" t="s">
        <v>213</v>
      </c>
      <c r="D99" s="472">
        <v>4.1630000000000003</v>
      </c>
      <c r="E99" s="522">
        <v>3.8740000000000001</v>
      </c>
      <c r="F99" s="523">
        <v>13.2</v>
      </c>
      <c r="G99" s="524" t="s">
        <v>3663</v>
      </c>
      <c r="H99" s="525" t="s">
        <v>3666</v>
      </c>
      <c r="I99" s="474"/>
      <c r="J99" s="475" t="s">
        <v>4253</v>
      </c>
    </row>
    <row r="100" spans="1:10" ht="14.25" customHeight="1">
      <c r="A100" s="520" t="s">
        <v>338</v>
      </c>
      <c r="B100" s="521" t="s">
        <v>339</v>
      </c>
      <c r="C100" s="520" t="s">
        <v>181</v>
      </c>
      <c r="D100" s="472">
        <v>3.673</v>
      </c>
      <c r="E100" s="522">
        <v>3.4239999999999999</v>
      </c>
      <c r="F100" s="523" t="s">
        <v>4166</v>
      </c>
      <c r="G100" s="524" t="s">
        <v>3663</v>
      </c>
      <c r="H100" s="525" t="s">
        <v>3666</v>
      </c>
      <c r="I100" s="474"/>
      <c r="J100" s="475" t="s">
        <v>4254</v>
      </c>
    </row>
    <row r="101" spans="1:10" ht="14.25" customHeight="1">
      <c r="A101" s="520" t="s">
        <v>340</v>
      </c>
      <c r="B101" s="521" t="s">
        <v>341</v>
      </c>
      <c r="C101" s="520" t="s">
        <v>213</v>
      </c>
      <c r="D101" s="472">
        <v>6.4870000000000001</v>
      </c>
      <c r="E101" s="522">
        <v>6.0490000000000004</v>
      </c>
      <c r="F101" s="523" t="s">
        <v>4166</v>
      </c>
      <c r="G101" s="524" t="s">
        <v>3663</v>
      </c>
      <c r="H101" s="525" t="s">
        <v>3666</v>
      </c>
      <c r="I101" s="474"/>
      <c r="J101" s="475" t="s">
        <v>4255</v>
      </c>
    </row>
    <row r="102" spans="1:10" ht="14.25" customHeight="1">
      <c r="A102" s="520" t="s">
        <v>61</v>
      </c>
      <c r="B102" s="521" t="s">
        <v>342</v>
      </c>
      <c r="C102" s="520" t="s">
        <v>213</v>
      </c>
      <c r="D102" s="472">
        <v>4.1630000000000003</v>
      </c>
      <c r="E102" s="522">
        <v>3.8740000000000001</v>
      </c>
      <c r="F102" s="523">
        <v>18.600000000000001</v>
      </c>
      <c r="G102" s="524" t="s">
        <v>3663</v>
      </c>
      <c r="H102" s="525" t="s">
        <v>3666</v>
      </c>
      <c r="I102" s="474"/>
      <c r="J102" s="475" t="s">
        <v>4256</v>
      </c>
    </row>
    <row r="103" spans="1:10" ht="14.25" customHeight="1">
      <c r="A103" s="520" t="s">
        <v>343</v>
      </c>
      <c r="B103" s="521" t="s">
        <v>344</v>
      </c>
      <c r="C103" s="520" t="s">
        <v>181</v>
      </c>
      <c r="D103" s="472">
        <v>3.673</v>
      </c>
      <c r="E103" s="522">
        <v>3.4239999999999999</v>
      </c>
      <c r="F103" s="523" t="s">
        <v>4166</v>
      </c>
      <c r="G103" s="524" t="s">
        <v>3663</v>
      </c>
      <c r="H103" s="525" t="s">
        <v>3666</v>
      </c>
      <c r="I103" s="474"/>
      <c r="J103" s="475" t="s">
        <v>4257</v>
      </c>
    </row>
    <row r="104" spans="1:10" ht="14.25" customHeight="1">
      <c r="A104" s="520" t="s">
        <v>345</v>
      </c>
      <c r="B104" s="521" t="s">
        <v>346</v>
      </c>
      <c r="C104" s="520" t="s">
        <v>213</v>
      </c>
      <c r="D104" s="472">
        <v>6.4870000000000001</v>
      </c>
      <c r="E104" s="522">
        <v>6.0490000000000004</v>
      </c>
      <c r="F104" s="523">
        <v>18.600000000000001</v>
      </c>
      <c r="G104" s="524" t="s">
        <v>3663</v>
      </c>
      <c r="H104" s="525" t="s">
        <v>3666</v>
      </c>
      <c r="I104" s="474"/>
      <c r="J104" s="475" t="s">
        <v>4258</v>
      </c>
    </row>
    <row r="105" spans="1:10" ht="14.25" customHeight="1">
      <c r="A105" s="520" t="s">
        <v>60</v>
      </c>
      <c r="B105" s="521" t="s">
        <v>347</v>
      </c>
      <c r="C105" s="520" t="s">
        <v>213</v>
      </c>
      <c r="D105" s="472">
        <v>4.1630000000000003</v>
      </c>
      <c r="E105" s="522">
        <v>3.8740000000000001</v>
      </c>
      <c r="F105" s="523">
        <v>14.6</v>
      </c>
      <c r="G105" s="524" t="s">
        <v>3663</v>
      </c>
      <c r="H105" s="525" t="s">
        <v>3666</v>
      </c>
      <c r="I105" s="474"/>
      <c r="J105" s="475" t="s">
        <v>4259</v>
      </c>
    </row>
    <row r="106" spans="1:10" ht="14.25" customHeight="1">
      <c r="A106" s="520" t="s">
        <v>348</v>
      </c>
      <c r="B106" s="521" t="s">
        <v>349</v>
      </c>
      <c r="C106" s="520" t="s">
        <v>181</v>
      </c>
      <c r="D106" s="472">
        <v>3.673</v>
      </c>
      <c r="E106" s="522">
        <v>3.4239999999999999</v>
      </c>
      <c r="F106" s="523">
        <v>14.6</v>
      </c>
      <c r="G106" s="524" t="s">
        <v>3663</v>
      </c>
      <c r="H106" s="525" t="s">
        <v>3666</v>
      </c>
      <c r="I106" s="474"/>
      <c r="J106" s="475" t="s">
        <v>4260</v>
      </c>
    </row>
    <row r="107" spans="1:10" ht="14.25" customHeight="1">
      <c r="A107" s="520" t="s">
        <v>350</v>
      </c>
      <c r="B107" s="521" t="s">
        <v>351</v>
      </c>
      <c r="C107" s="520" t="s">
        <v>213</v>
      </c>
      <c r="D107" s="472">
        <v>6.4870000000000001</v>
      </c>
      <c r="E107" s="522">
        <v>6.0490000000000004</v>
      </c>
      <c r="F107" s="523" t="s">
        <v>4166</v>
      </c>
      <c r="G107" s="524" t="s">
        <v>3663</v>
      </c>
      <c r="H107" s="525" t="s">
        <v>3666</v>
      </c>
      <c r="I107" s="474"/>
      <c r="J107" s="475" t="s">
        <v>4261</v>
      </c>
    </row>
    <row r="108" spans="1:10" ht="14.25" customHeight="1">
      <c r="A108" s="520" t="s">
        <v>70</v>
      </c>
      <c r="B108" s="521" t="s">
        <v>352</v>
      </c>
      <c r="C108" s="520" t="s">
        <v>213</v>
      </c>
      <c r="D108" s="472">
        <v>4.5789999999999997</v>
      </c>
      <c r="E108" s="522">
        <v>4.2619999999999996</v>
      </c>
      <c r="F108" s="523">
        <v>23.4</v>
      </c>
      <c r="G108" s="524" t="s">
        <v>3663</v>
      </c>
      <c r="H108" s="525" t="s">
        <v>3666</v>
      </c>
      <c r="I108" s="474"/>
      <c r="J108" s="475" t="s">
        <v>4262</v>
      </c>
    </row>
    <row r="109" spans="1:10" ht="14.25" customHeight="1">
      <c r="A109" s="520" t="s">
        <v>353</v>
      </c>
      <c r="B109" s="521" t="s">
        <v>354</v>
      </c>
      <c r="C109" s="520" t="s">
        <v>181</v>
      </c>
      <c r="D109" s="472">
        <v>4.0389999999999997</v>
      </c>
      <c r="E109" s="522">
        <v>3.7669999999999999</v>
      </c>
      <c r="F109" s="523" t="s">
        <v>4166</v>
      </c>
      <c r="G109" s="524" t="s">
        <v>3663</v>
      </c>
      <c r="H109" s="525" t="s">
        <v>3666</v>
      </c>
      <c r="I109" s="474"/>
      <c r="J109" s="475" t="s">
        <v>4263</v>
      </c>
    </row>
    <row r="110" spans="1:10" ht="14.25" customHeight="1">
      <c r="A110" s="520" t="s">
        <v>355</v>
      </c>
      <c r="B110" s="521" t="s">
        <v>356</v>
      </c>
      <c r="C110" s="520" t="s">
        <v>213</v>
      </c>
      <c r="D110" s="472">
        <v>7.1349999999999998</v>
      </c>
      <c r="E110" s="522">
        <v>6.6539999999999999</v>
      </c>
      <c r="F110" s="523">
        <v>23.4</v>
      </c>
      <c r="G110" s="524" t="s">
        <v>3663</v>
      </c>
      <c r="H110" s="525" t="s">
        <v>3666</v>
      </c>
      <c r="I110" s="474"/>
      <c r="J110" s="475" t="s">
        <v>4264</v>
      </c>
    </row>
    <row r="111" spans="1:10" ht="14.25" customHeight="1">
      <c r="A111" s="520" t="s">
        <v>62</v>
      </c>
      <c r="B111" s="521" t="s">
        <v>357</v>
      </c>
      <c r="C111" s="520" t="s">
        <v>213</v>
      </c>
      <c r="D111" s="472">
        <v>7.3250000000000002</v>
      </c>
      <c r="E111" s="522">
        <v>6.923</v>
      </c>
      <c r="F111" s="523">
        <v>15</v>
      </c>
      <c r="G111" s="524" t="s">
        <v>3663</v>
      </c>
      <c r="H111" s="525" t="s">
        <v>3666</v>
      </c>
      <c r="I111" s="474"/>
      <c r="J111" s="475" t="s">
        <v>4265</v>
      </c>
    </row>
    <row r="112" spans="1:10" ht="14.25" customHeight="1">
      <c r="A112" s="520" t="s">
        <v>358</v>
      </c>
      <c r="B112" s="521" t="s">
        <v>359</v>
      </c>
      <c r="C112" s="520" t="s">
        <v>181</v>
      </c>
      <c r="D112" s="472">
        <v>3.673</v>
      </c>
      <c r="E112" s="522">
        <v>3.4239999999999999</v>
      </c>
      <c r="F112" s="523" t="s">
        <v>4166</v>
      </c>
      <c r="G112" s="524" t="s">
        <v>3663</v>
      </c>
      <c r="H112" s="525" t="s">
        <v>3666</v>
      </c>
      <c r="I112" s="474"/>
      <c r="J112" s="475" t="s">
        <v>4266</v>
      </c>
    </row>
    <row r="113" spans="1:10" ht="14.25" customHeight="1">
      <c r="A113" s="520" t="s">
        <v>360</v>
      </c>
      <c r="B113" s="521" t="s">
        <v>361</v>
      </c>
      <c r="C113" s="520" t="s">
        <v>213</v>
      </c>
      <c r="D113" s="472">
        <v>13.817</v>
      </c>
      <c r="E113" s="522">
        <v>12.916</v>
      </c>
      <c r="F113" s="523">
        <v>15</v>
      </c>
      <c r="G113" s="524" t="s">
        <v>3663</v>
      </c>
      <c r="H113" s="525" t="s">
        <v>3666</v>
      </c>
      <c r="I113" s="474"/>
      <c r="J113" s="475" t="s">
        <v>4267</v>
      </c>
    </row>
    <row r="114" spans="1:10" ht="14.25" customHeight="1">
      <c r="A114" s="520" t="s">
        <v>73</v>
      </c>
      <c r="B114" s="521" t="s">
        <v>362</v>
      </c>
      <c r="C114" s="520" t="s">
        <v>213</v>
      </c>
      <c r="D114" s="472">
        <v>8.1430000000000007</v>
      </c>
      <c r="E114" s="522">
        <v>7.6369999999999996</v>
      </c>
      <c r="F114" s="523">
        <v>15</v>
      </c>
      <c r="G114" s="524" t="s">
        <v>3663</v>
      </c>
      <c r="H114" s="525" t="s">
        <v>3666</v>
      </c>
      <c r="I114" s="474"/>
      <c r="J114" s="475" t="s">
        <v>4268</v>
      </c>
    </row>
    <row r="115" spans="1:10" ht="14.25" customHeight="1">
      <c r="A115" s="520" t="s">
        <v>363</v>
      </c>
      <c r="B115" s="521" t="s">
        <v>364</v>
      </c>
      <c r="C115" s="520" t="s">
        <v>181</v>
      </c>
      <c r="D115" s="472">
        <v>3.673</v>
      </c>
      <c r="E115" s="522">
        <v>3.4239999999999999</v>
      </c>
      <c r="F115" s="523" t="s">
        <v>4166</v>
      </c>
      <c r="G115" s="524" t="s">
        <v>3663</v>
      </c>
      <c r="H115" s="525" t="s">
        <v>3666</v>
      </c>
      <c r="I115" s="474"/>
      <c r="J115" s="475" t="s">
        <v>4269</v>
      </c>
    </row>
    <row r="116" spans="1:10" ht="14.25" customHeight="1">
      <c r="A116" s="520" t="s">
        <v>365</v>
      </c>
      <c r="B116" s="521" t="s">
        <v>366</v>
      </c>
      <c r="C116" s="520" t="s">
        <v>213</v>
      </c>
      <c r="D116" s="472">
        <v>14.635999999999999</v>
      </c>
      <c r="E116" s="522">
        <v>13.651</v>
      </c>
      <c r="F116" s="523">
        <v>15</v>
      </c>
      <c r="G116" s="524" t="s">
        <v>3663</v>
      </c>
      <c r="H116" s="525" t="s">
        <v>3666</v>
      </c>
      <c r="I116" s="474"/>
      <c r="J116" s="475" t="s">
        <v>4270</v>
      </c>
    </row>
    <row r="117" spans="1:10" ht="14.25" customHeight="1">
      <c r="A117" s="520" t="s">
        <v>77</v>
      </c>
      <c r="B117" s="521" t="s">
        <v>367</v>
      </c>
      <c r="C117" s="520" t="s">
        <v>213</v>
      </c>
      <c r="D117" s="472">
        <v>4.1630000000000003</v>
      </c>
      <c r="E117" s="522">
        <v>3.8740000000000001</v>
      </c>
      <c r="F117" s="523">
        <v>13.2</v>
      </c>
      <c r="G117" s="524" t="s">
        <v>3663</v>
      </c>
      <c r="H117" s="525" t="s">
        <v>3666</v>
      </c>
      <c r="I117" s="474"/>
      <c r="J117" s="475" t="s">
        <v>4271</v>
      </c>
    </row>
    <row r="118" spans="1:10" ht="14.25" customHeight="1">
      <c r="A118" s="520" t="s">
        <v>368</v>
      </c>
      <c r="B118" s="521" t="s">
        <v>369</v>
      </c>
      <c r="C118" s="520" t="s">
        <v>181</v>
      </c>
      <c r="D118" s="472">
        <v>3.673</v>
      </c>
      <c r="E118" s="522">
        <v>3.4239999999999999</v>
      </c>
      <c r="F118" s="523" t="s">
        <v>4166</v>
      </c>
      <c r="G118" s="524" t="s">
        <v>3663</v>
      </c>
      <c r="H118" s="525" t="s">
        <v>3666</v>
      </c>
      <c r="I118" s="474"/>
      <c r="J118" s="475" t="s">
        <v>4272</v>
      </c>
    </row>
    <row r="119" spans="1:10" ht="14.25" customHeight="1">
      <c r="A119" s="520" t="s">
        <v>370</v>
      </c>
      <c r="B119" s="521" t="s">
        <v>371</v>
      </c>
      <c r="C119" s="520" t="s">
        <v>213</v>
      </c>
      <c r="D119" s="472">
        <v>6.4870000000000001</v>
      </c>
      <c r="E119" s="522">
        <v>6.0490000000000004</v>
      </c>
      <c r="F119" s="523">
        <v>13.2</v>
      </c>
      <c r="G119" s="524" t="s">
        <v>3663</v>
      </c>
      <c r="H119" s="525" t="s">
        <v>3666</v>
      </c>
      <c r="I119" s="474"/>
      <c r="J119" s="475" t="s">
        <v>4273</v>
      </c>
    </row>
    <row r="120" spans="1:10" ht="14.25" customHeight="1">
      <c r="A120" s="520" t="s">
        <v>78</v>
      </c>
      <c r="B120" s="521" t="s">
        <v>372</v>
      </c>
      <c r="C120" s="520" t="s">
        <v>213</v>
      </c>
      <c r="D120" s="472">
        <v>4.1630000000000003</v>
      </c>
      <c r="E120" s="522">
        <v>3.8740000000000001</v>
      </c>
      <c r="F120" s="523">
        <v>10.6</v>
      </c>
      <c r="G120" s="524" t="s">
        <v>3663</v>
      </c>
      <c r="H120" s="525" t="s">
        <v>3666</v>
      </c>
      <c r="I120" s="474"/>
      <c r="J120" s="475" t="s">
        <v>4274</v>
      </c>
    </row>
    <row r="121" spans="1:10" ht="14.25" customHeight="1">
      <c r="A121" s="520" t="s">
        <v>373</v>
      </c>
      <c r="B121" s="521" t="s">
        <v>374</v>
      </c>
      <c r="C121" s="520" t="s">
        <v>181</v>
      </c>
      <c r="D121" s="472">
        <v>3.673</v>
      </c>
      <c r="E121" s="522">
        <v>3.4239999999999999</v>
      </c>
      <c r="F121" s="523" t="s">
        <v>4166</v>
      </c>
      <c r="G121" s="524" t="s">
        <v>3663</v>
      </c>
      <c r="H121" s="525" t="s">
        <v>3666</v>
      </c>
      <c r="I121" s="474"/>
      <c r="J121" s="475" t="s">
        <v>4275</v>
      </c>
    </row>
    <row r="122" spans="1:10" ht="14.25" customHeight="1">
      <c r="A122" s="520" t="s">
        <v>375</v>
      </c>
      <c r="B122" s="521" t="s">
        <v>376</v>
      </c>
      <c r="C122" s="520" t="s">
        <v>213</v>
      </c>
      <c r="D122" s="472">
        <v>6.4870000000000001</v>
      </c>
      <c r="E122" s="522">
        <v>6.0490000000000004</v>
      </c>
      <c r="F122" s="523" t="s">
        <v>4166</v>
      </c>
      <c r="G122" s="524" t="s">
        <v>3663</v>
      </c>
      <c r="H122" s="525" t="s">
        <v>3666</v>
      </c>
      <c r="I122" s="474"/>
      <c r="J122" s="475" t="s">
        <v>4276</v>
      </c>
    </row>
    <row r="123" spans="1:10" ht="14.25" customHeight="1">
      <c r="A123" s="520" t="s">
        <v>377</v>
      </c>
      <c r="B123" s="521" t="s">
        <v>378</v>
      </c>
      <c r="C123" s="520" t="s">
        <v>213</v>
      </c>
      <c r="D123" s="472">
        <v>8.8149999999999995</v>
      </c>
      <c r="E123" s="522">
        <v>8.2240000000000002</v>
      </c>
      <c r="F123" s="523">
        <v>32.200000000000003</v>
      </c>
      <c r="G123" s="524" t="s">
        <v>3663</v>
      </c>
      <c r="H123" s="525" t="s">
        <v>3666</v>
      </c>
      <c r="I123" s="474"/>
      <c r="J123" s="475" t="s">
        <v>4277</v>
      </c>
    </row>
    <row r="124" spans="1:10" ht="14.25" customHeight="1">
      <c r="A124" s="520" t="s">
        <v>379</v>
      </c>
      <c r="B124" s="521" t="s">
        <v>380</v>
      </c>
      <c r="C124" s="520" t="s">
        <v>181</v>
      </c>
      <c r="D124" s="472">
        <v>5.9580000000000002</v>
      </c>
      <c r="E124" s="522">
        <v>5.5540000000000003</v>
      </c>
      <c r="F124" s="523" t="s">
        <v>4166</v>
      </c>
      <c r="G124" s="524" t="s">
        <v>3663</v>
      </c>
      <c r="H124" s="525" t="s">
        <v>3666</v>
      </c>
      <c r="I124" s="474"/>
      <c r="J124" s="475" t="s">
        <v>4278</v>
      </c>
    </row>
    <row r="125" spans="1:10" ht="14.25" customHeight="1">
      <c r="A125" s="520" t="s">
        <v>381</v>
      </c>
      <c r="B125" s="521" t="s">
        <v>382</v>
      </c>
      <c r="C125" s="520" t="s">
        <v>213</v>
      </c>
      <c r="D125" s="472">
        <v>11.153</v>
      </c>
      <c r="E125" s="522">
        <v>10.398999999999999</v>
      </c>
      <c r="F125" s="523">
        <v>32.200000000000003</v>
      </c>
      <c r="G125" s="524" t="s">
        <v>3663</v>
      </c>
      <c r="H125" s="525" t="s">
        <v>3666</v>
      </c>
      <c r="I125" s="474"/>
      <c r="J125" s="475" t="s">
        <v>4279</v>
      </c>
    </row>
    <row r="126" spans="1:10" ht="14.25" customHeight="1">
      <c r="A126" s="520" t="s">
        <v>164</v>
      </c>
      <c r="B126" s="521" t="s">
        <v>383</v>
      </c>
      <c r="C126" s="520" t="s">
        <v>213</v>
      </c>
      <c r="D126" s="472">
        <v>4.7699999999999996</v>
      </c>
      <c r="E126" s="522">
        <v>4.5650000000000004</v>
      </c>
      <c r="F126" s="523">
        <v>12.54</v>
      </c>
      <c r="G126" s="524" t="s">
        <v>3663</v>
      </c>
      <c r="H126" s="525" t="s">
        <v>3666</v>
      </c>
      <c r="I126" s="474"/>
      <c r="J126" s="475" t="s">
        <v>4280</v>
      </c>
    </row>
    <row r="127" spans="1:10" ht="14.25" customHeight="1">
      <c r="A127" s="520" t="s">
        <v>384</v>
      </c>
      <c r="B127" s="521" t="s">
        <v>385</v>
      </c>
      <c r="C127" s="520" t="s">
        <v>181</v>
      </c>
      <c r="D127" s="472">
        <v>2.625</v>
      </c>
      <c r="E127" s="522">
        <v>2.5110000000000001</v>
      </c>
      <c r="F127" s="523">
        <v>8.5</v>
      </c>
      <c r="G127" s="524" t="s">
        <v>3663</v>
      </c>
      <c r="H127" s="525" t="s">
        <v>3666</v>
      </c>
      <c r="I127" s="474"/>
      <c r="J127" s="475" t="s">
        <v>4281</v>
      </c>
    </row>
    <row r="128" spans="1:10" ht="14.25" customHeight="1">
      <c r="A128" s="520" t="s">
        <v>386</v>
      </c>
      <c r="B128" s="521" t="s">
        <v>387</v>
      </c>
      <c r="C128" s="520" t="s">
        <v>213</v>
      </c>
      <c r="D128" s="472">
        <v>11.108000000000001</v>
      </c>
      <c r="E128" s="522">
        <v>10.362</v>
      </c>
      <c r="F128" s="523" t="s">
        <v>4166</v>
      </c>
      <c r="G128" s="524" t="s">
        <v>3663</v>
      </c>
      <c r="H128" s="525" t="s">
        <v>3666</v>
      </c>
      <c r="I128" s="474"/>
      <c r="J128" s="475" t="s">
        <v>4282</v>
      </c>
    </row>
    <row r="129" spans="1:10" ht="14.25" customHeight="1">
      <c r="A129" s="520" t="s">
        <v>388</v>
      </c>
      <c r="B129" s="521" t="s">
        <v>389</v>
      </c>
      <c r="C129" s="520" t="s">
        <v>181</v>
      </c>
      <c r="D129" s="472">
        <v>8.1289999999999996</v>
      </c>
      <c r="E129" s="522">
        <v>7.5789999999999997</v>
      </c>
      <c r="F129" s="523" t="s">
        <v>4166</v>
      </c>
      <c r="G129" s="524" t="s">
        <v>3663</v>
      </c>
      <c r="H129" s="525" t="s">
        <v>3666</v>
      </c>
      <c r="I129" s="474"/>
      <c r="J129" s="475" t="s">
        <v>4283</v>
      </c>
    </row>
    <row r="130" spans="1:10" ht="14.25" customHeight="1">
      <c r="A130" s="520" t="s">
        <v>390</v>
      </c>
      <c r="B130" s="521" t="s">
        <v>391</v>
      </c>
      <c r="C130" s="520" t="s">
        <v>213</v>
      </c>
      <c r="D130" s="472">
        <v>15.772</v>
      </c>
      <c r="E130" s="522">
        <v>14.712</v>
      </c>
      <c r="F130" s="523" t="s">
        <v>4166</v>
      </c>
      <c r="G130" s="524" t="s">
        <v>3663</v>
      </c>
      <c r="H130" s="525" t="s">
        <v>3666</v>
      </c>
      <c r="I130" s="474"/>
      <c r="J130" s="475" t="s">
        <v>4284</v>
      </c>
    </row>
    <row r="131" spans="1:10" ht="14.25" customHeight="1">
      <c r="A131" s="520" t="s">
        <v>392</v>
      </c>
      <c r="B131" s="521" t="s">
        <v>393</v>
      </c>
      <c r="C131" s="520" t="s">
        <v>213</v>
      </c>
      <c r="D131" s="472">
        <v>9.2880000000000003</v>
      </c>
      <c r="E131" s="522">
        <v>8.6620000000000008</v>
      </c>
      <c r="F131" s="523" t="s">
        <v>4166</v>
      </c>
      <c r="G131" s="524" t="s">
        <v>3663</v>
      </c>
      <c r="H131" s="525" t="s">
        <v>3666</v>
      </c>
      <c r="I131" s="474"/>
      <c r="J131" s="475" t="s">
        <v>4285</v>
      </c>
    </row>
    <row r="132" spans="1:10" ht="14.25" customHeight="1">
      <c r="A132" s="520" t="s">
        <v>394</v>
      </c>
      <c r="B132" s="521" t="s">
        <v>395</v>
      </c>
      <c r="C132" s="520" t="s">
        <v>181</v>
      </c>
      <c r="D132" s="472">
        <v>6.6920000000000002</v>
      </c>
      <c r="E132" s="522">
        <v>6.2409999999999997</v>
      </c>
      <c r="F132" s="523" t="s">
        <v>4166</v>
      </c>
      <c r="G132" s="524" t="s">
        <v>3663</v>
      </c>
      <c r="H132" s="525" t="s">
        <v>3666</v>
      </c>
      <c r="I132" s="474"/>
      <c r="J132" s="475" t="s">
        <v>4286</v>
      </c>
    </row>
    <row r="133" spans="1:10" ht="14.25" customHeight="1">
      <c r="A133" s="520" t="s">
        <v>396</v>
      </c>
      <c r="B133" s="521" t="s">
        <v>397</v>
      </c>
      <c r="C133" s="520" t="s">
        <v>213</v>
      </c>
      <c r="D133" s="472">
        <v>11.622999999999999</v>
      </c>
      <c r="E133" s="522">
        <v>10.837</v>
      </c>
      <c r="F133" s="523" t="s">
        <v>4166</v>
      </c>
      <c r="G133" s="524" t="s">
        <v>3663</v>
      </c>
      <c r="H133" s="525" t="s">
        <v>3666</v>
      </c>
      <c r="I133" s="474"/>
      <c r="J133" s="475" t="s">
        <v>4287</v>
      </c>
    </row>
    <row r="134" spans="1:10" ht="14.25" customHeight="1">
      <c r="A134" s="520" t="s">
        <v>398</v>
      </c>
      <c r="B134" s="521" t="s">
        <v>399</v>
      </c>
      <c r="C134" s="520" t="s">
        <v>213</v>
      </c>
      <c r="D134" s="472">
        <v>9.2880000000000003</v>
      </c>
      <c r="E134" s="522">
        <v>8.6620000000000008</v>
      </c>
      <c r="F134" s="523" t="s">
        <v>4166</v>
      </c>
      <c r="G134" s="524" t="s">
        <v>3663</v>
      </c>
      <c r="H134" s="525" t="s">
        <v>3666</v>
      </c>
      <c r="I134" s="474"/>
      <c r="J134" s="475" t="s">
        <v>4288</v>
      </c>
    </row>
    <row r="135" spans="1:10" ht="14.25" customHeight="1">
      <c r="A135" s="520" t="s">
        <v>400</v>
      </c>
      <c r="B135" s="521" t="s">
        <v>401</v>
      </c>
      <c r="C135" s="520" t="s">
        <v>181</v>
      </c>
      <c r="D135" s="472">
        <v>6.6920000000000002</v>
      </c>
      <c r="E135" s="522">
        <v>6.2409999999999997</v>
      </c>
      <c r="F135" s="523" t="s">
        <v>4166</v>
      </c>
      <c r="G135" s="524" t="s">
        <v>3663</v>
      </c>
      <c r="H135" s="525" t="s">
        <v>3666</v>
      </c>
      <c r="I135" s="474"/>
      <c r="J135" s="475" t="s">
        <v>4289</v>
      </c>
    </row>
    <row r="136" spans="1:10" ht="14.25" customHeight="1">
      <c r="A136" s="520" t="s">
        <v>402</v>
      </c>
      <c r="B136" s="521" t="s">
        <v>403</v>
      </c>
      <c r="C136" s="520" t="s">
        <v>213</v>
      </c>
      <c r="D136" s="472">
        <v>11.622999999999999</v>
      </c>
      <c r="E136" s="522">
        <v>10.837</v>
      </c>
      <c r="F136" s="523" t="s">
        <v>4166</v>
      </c>
      <c r="G136" s="524" t="s">
        <v>3663</v>
      </c>
      <c r="H136" s="525" t="s">
        <v>3666</v>
      </c>
      <c r="I136" s="474"/>
      <c r="J136" s="475" t="s">
        <v>4290</v>
      </c>
    </row>
    <row r="137" spans="1:10" ht="14.25" customHeight="1">
      <c r="A137" s="520" t="s">
        <v>404</v>
      </c>
      <c r="B137" s="521" t="s">
        <v>405</v>
      </c>
      <c r="C137" s="520" t="s">
        <v>213</v>
      </c>
      <c r="D137" s="472">
        <v>11.109</v>
      </c>
      <c r="E137" s="522">
        <v>10.362</v>
      </c>
      <c r="F137" s="523">
        <v>48.8</v>
      </c>
      <c r="G137" s="524" t="s">
        <v>3663</v>
      </c>
      <c r="H137" s="525" t="s">
        <v>3666</v>
      </c>
      <c r="I137" s="474"/>
      <c r="J137" s="475" t="s">
        <v>4291</v>
      </c>
    </row>
    <row r="138" spans="1:10" ht="14.25" customHeight="1">
      <c r="A138" s="520" t="s">
        <v>406</v>
      </c>
      <c r="B138" s="521" t="s">
        <v>407</v>
      </c>
      <c r="C138" s="520" t="s">
        <v>181</v>
      </c>
      <c r="D138" s="472">
        <v>10.333</v>
      </c>
      <c r="E138" s="522">
        <v>9.6340000000000003</v>
      </c>
      <c r="F138" s="523">
        <v>45.5</v>
      </c>
      <c r="G138" s="524" t="s">
        <v>3663</v>
      </c>
      <c r="H138" s="525" t="s">
        <v>3666</v>
      </c>
      <c r="I138" s="474"/>
      <c r="J138" s="475" t="s">
        <v>4292</v>
      </c>
    </row>
    <row r="139" spans="1:10" ht="14.25" customHeight="1">
      <c r="A139" s="520" t="s">
        <v>408</v>
      </c>
      <c r="B139" s="521" t="s">
        <v>409</v>
      </c>
      <c r="C139" s="520" t="s">
        <v>213</v>
      </c>
      <c r="D139" s="472">
        <v>15.773999999999999</v>
      </c>
      <c r="E139" s="522">
        <v>14.712</v>
      </c>
      <c r="F139" s="523" t="s">
        <v>4166</v>
      </c>
      <c r="G139" s="524" t="s">
        <v>3663</v>
      </c>
      <c r="H139" s="525" t="s">
        <v>3666</v>
      </c>
      <c r="I139" s="474"/>
      <c r="J139" s="475" t="s">
        <v>4293</v>
      </c>
    </row>
    <row r="140" spans="1:10" ht="14.25" customHeight="1">
      <c r="A140" s="520" t="s">
        <v>410</v>
      </c>
      <c r="B140" s="521" t="s">
        <v>411</v>
      </c>
      <c r="C140" s="520" t="s">
        <v>213</v>
      </c>
      <c r="D140" s="472">
        <v>11.108000000000001</v>
      </c>
      <c r="E140" s="522">
        <v>10.362</v>
      </c>
      <c r="F140" s="523">
        <v>49</v>
      </c>
      <c r="G140" s="524" t="s">
        <v>3663</v>
      </c>
      <c r="H140" s="525" t="s">
        <v>3666</v>
      </c>
      <c r="I140" s="474"/>
      <c r="J140" s="475" t="s">
        <v>4294</v>
      </c>
    </row>
    <row r="141" spans="1:10" ht="14.25" customHeight="1">
      <c r="A141" s="520" t="s">
        <v>412</v>
      </c>
      <c r="B141" s="521" t="s">
        <v>413</v>
      </c>
      <c r="C141" s="520" t="s">
        <v>181</v>
      </c>
      <c r="D141" s="472">
        <v>8.1289999999999996</v>
      </c>
      <c r="E141" s="522">
        <v>7.5789999999999997</v>
      </c>
      <c r="F141" s="523">
        <v>40.6</v>
      </c>
      <c r="G141" s="524" t="s">
        <v>3663</v>
      </c>
      <c r="H141" s="525" t="s">
        <v>3666</v>
      </c>
      <c r="I141" s="474"/>
      <c r="J141" s="475" t="s">
        <v>4295</v>
      </c>
    </row>
    <row r="142" spans="1:10" ht="14.25" customHeight="1">
      <c r="A142" s="520" t="s">
        <v>414</v>
      </c>
      <c r="B142" s="521" t="s">
        <v>415</v>
      </c>
      <c r="C142" s="520" t="s">
        <v>213</v>
      </c>
      <c r="D142" s="472">
        <v>15.772</v>
      </c>
      <c r="E142" s="522">
        <v>14.712</v>
      </c>
      <c r="F142" s="523" t="s">
        <v>4166</v>
      </c>
      <c r="G142" s="524" t="s">
        <v>3663</v>
      </c>
      <c r="H142" s="525" t="s">
        <v>3666</v>
      </c>
      <c r="I142" s="474"/>
      <c r="J142" s="475" t="s">
        <v>4296</v>
      </c>
    </row>
    <row r="143" spans="1:10" ht="14.25" customHeight="1">
      <c r="A143" s="528" t="s">
        <v>416</v>
      </c>
      <c r="B143" s="529" t="s">
        <v>417</v>
      </c>
      <c r="C143" s="528" t="s">
        <v>213</v>
      </c>
      <c r="D143" s="472">
        <v>11.753</v>
      </c>
      <c r="E143" s="522">
        <v>9.6210000000000004</v>
      </c>
      <c r="F143" s="523" t="s">
        <v>4166</v>
      </c>
      <c r="G143" s="524" t="s">
        <v>3663</v>
      </c>
      <c r="H143" s="525" t="s">
        <v>3666</v>
      </c>
      <c r="I143" s="474"/>
      <c r="J143" s="475" t="s">
        <v>4297</v>
      </c>
    </row>
    <row r="144" spans="1:10" ht="14.25" customHeight="1">
      <c r="A144" s="528" t="s">
        <v>418</v>
      </c>
      <c r="B144" s="529" t="s">
        <v>419</v>
      </c>
      <c r="C144" s="528" t="s">
        <v>181</v>
      </c>
      <c r="D144" s="472">
        <v>4.7089999999999996</v>
      </c>
      <c r="E144" s="522">
        <v>3.8540000000000001</v>
      </c>
      <c r="F144" s="523" t="s">
        <v>4166</v>
      </c>
      <c r="G144" s="524" t="s">
        <v>3663</v>
      </c>
      <c r="H144" s="525" t="s">
        <v>3666</v>
      </c>
      <c r="I144" s="474"/>
      <c r="J144" s="475" t="s">
        <v>4298</v>
      </c>
    </row>
    <row r="145" spans="1:10" ht="14.25" customHeight="1">
      <c r="A145" s="528" t="s">
        <v>420</v>
      </c>
      <c r="B145" s="529" t="s">
        <v>421</v>
      </c>
      <c r="C145" s="528" t="s">
        <v>213</v>
      </c>
      <c r="D145" s="472">
        <v>15.375</v>
      </c>
      <c r="E145" s="522">
        <v>12.584</v>
      </c>
      <c r="F145" s="523" t="s">
        <v>4166</v>
      </c>
      <c r="G145" s="524" t="s">
        <v>3663</v>
      </c>
      <c r="H145" s="525" t="s">
        <v>3666</v>
      </c>
      <c r="I145" s="474"/>
      <c r="J145" s="475" t="s">
        <v>4299</v>
      </c>
    </row>
    <row r="146" spans="1:10" ht="14.25" customHeight="1">
      <c r="A146" s="520" t="s">
        <v>72</v>
      </c>
      <c r="B146" s="521" t="s">
        <v>422</v>
      </c>
      <c r="C146" s="520" t="s">
        <v>213</v>
      </c>
      <c r="D146" s="472">
        <v>8.1430000000000007</v>
      </c>
      <c r="E146" s="522">
        <v>7.6369999999999996</v>
      </c>
      <c r="F146" s="523">
        <v>16</v>
      </c>
      <c r="G146" s="524" t="s">
        <v>3663</v>
      </c>
      <c r="H146" s="525" t="s">
        <v>3666</v>
      </c>
      <c r="I146" s="474"/>
      <c r="J146" s="475" t="s">
        <v>4300</v>
      </c>
    </row>
    <row r="147" spans="1:10" ht="14.25" customHeight="1">
      <c r="A147" s="520" t="s">
        <v>423</v>
      </c>
      <c r="B147" s="521" t="s">
        <v>424</v>
      </c>
      <c r="C147" s="520" t="s">
        <v>213</v>
      </c>
      <c r="D147" s="472">
        <v>14.635999999999999</v>
      </c>
      <c r="E147" s="522">
        <v>13.651</v>
      </c>
      <c r="F147" s="523">
        <v>16</v>
      </c>
      <c r="G147" s="524" t="s">
        <v>3663</v>
      </c>
      <c r="H147" s="525" t="s">
        <v>3666</v>
      </c>
      <c r="I147" s="474"/>
      <c r="J147" s="475" t="s">
        <v>4301</v>
      </c>
    </row>
    <row r="148" spans="1:10" ht="14.25" customHeight="1">
      <c r="A148" s="520" t="s">
        <v>425</v>
      </c>
      <c r="B148" s="530" t="s">
        <v>426</v>
      </c>
      <c r="C148" s="531" t="s">
        <v>213</v>
      </c>
      <c r="D148" s="472">
        <v>4.1630000000000003</v>
      </c>
      <c r="E148" s="522">
        <v>3.8740000000000001</v>
      </c>
      <c r="F148" s="523">
        <v>10.74</v>
      </c>
      <c r="G148" s="524" t="s">
        <v>3663</v>
      </c>
      <c r="H148" s="525" t="s">
        <v>3666</v>
      </c>
      <c r="I148" s="474"/>
      <c r="J148" s="475" t="s">
        <v>4302</v>
      </c>
    </row>
    <row r="149" spans="1:10" ht="14.25" customHeight="1">
      <c r="A149" s="520" t="s">
        <v>427</v>
      </c>
      <c r="B149" s="530" t="s">
        <v>428</v>
      </c>
      <c r="C149" s="531" t="s">
        <v>181</v>
      </c>
      <c r="D149" s="472">
        <v>3.673</v>
      </c>
      <c r="E149" s="522">
        <v>3.4239999999999999</v>
      </c>
      <c r="F149" s="523" t="s">
        <v>4166</v>
      </c>
      <c r="G149" s="524" t="s">
        <v>3663</v>
      </c>
      <c r="H149" s="525" t="s">
        <v>3666</v>
      </c>
      <c r="I149" s="474"/>
      <c r="J149" s="475" t="s">
        <v>4303</v>
      </c>
    </row>
    <row r="150" spans="1:10" ht="14.25" customHeight="1">
      <c r="A150" s="520" t="s">
        <v>429</v>
      </c>
      <c r="B150" s="530" t="s">
        <v>430</v>
      </c>
      <c r="C150" s="531" t="s">
        <v>213</v>
      </c>
      <c r="D150" s="472">
        <v>6.4870000000000001</v>
      </c>
      <c r="E150" s="522">
        <v>6.0490000000000004</v>
      </c>
      <c r="F150" s="523" t="s">
        <v>4166</v>
      </c>
      <c r="G150" s="524" t="s">
        <v>3663</v>
      </c>
      <c r="H150" s="525" t="s">
        <v>3666</v>
      </c>
      <c r="I150" s="474"/>
      <c r="J150" s="475" t="s">
        <v>4304</v>
      </c>
    </row>
    <row r="151" spans="1:10" ht="14.25" customHeight="1">
      <c r="A151" s="528" t="s">
        <v>431</v>
      </c>
      <c r="B151" s="529" t="s">
        <v>432</v>
      </c>
      <c r="C151" s="528" t="s">
        <v>213</v>
      </c>
      <c r="D151" s="472">
        <v>4.9809999999999999</v>
      </c>
      <c r="E151" s="522">
        <v>5.8040000000000003</v>
      </c>
      <c r="F151" s="523" t="s">
        <v>4166</v>
      </c>
      <c r="G151" s="524" t="s">
        <v>3663</v>
      </c>
      <c r="H151" s="525" t="s">
        <v>3666</v>
      </c>
      <c r="I151" s="474"/>
      <c r="J151" s="475" t="s">
        <v>4305</v>
      </c>
    </row>
    <row r="152" spans="1:10" ht="14.25" customHeight="1">
      <c r="A152" s="528" t="s">
        <v>433</v>
      </c>
      <c r="B152" s="529" t="s">
        <v>434</v>
      </c>
      <c r="C152" s="528" t="s">
        <v>213</v>
      </c>
      <c r="D152" s="472">
        <v>3.0390000000000001</v>
      </c>
      <c r="E152" s="522">
        <v>3.1349999999999998</v>
      </c>
      <c r="F152" s="523" t="s">
        <v>4166</v>
      </c>
      <c r="G152" s="524" t="s">
        <v>3663</v>
      </c>
      <c r="H152" s="525" t="s">
        <v>3666</v>
      </c>
      <c r="I152" s="474"/>
      <c r="J152" s="475" t="s">
        <v>4306</v>
      </c>
    </row>
    <row r="153" spans="1:10" ht="14.25" customHeight="1">
      <c r="A153" s="528" t="s">
        <v>435</v>
      </c>
      <c r="B153" s="529" t="s">
        <v>436</v>
      </c>
      <c r="C153" s="528" t="s">
        <v>213</v>
      </c>
      <c r="D153" s="472">
        <v>4.9809999999999999</v>
      </c>
      <c r="E153" s="522">
        <v>5.8040000000000003</v>
      </c>
      <c r="F153" s="523">
        <v>17</v>
      </c>
      <c r="G153" s="524" t="s">
        <v>3663</v>
      </c>
      <c r="H153" s="525" t="s">
        <v>3666</v>
      </c>
      <c r="I153" s="474"/>
      <c r="J153" s="475" t="s">
        <v>4307</v>
      </c>
    </row>
    <row r="154" spans="1:10" ht="14.25" customHeight="1">
      <c r="A154" s="528" t="s">
        <v>437</v>
      </c>
      <c r="B154" s="529" t="s">
        <v>438</v>
      </c>
      <c r="C154" s="528" t="s">
        <v>213</v>
      </c>
      <c r="D154" s="472">
        <v>3.0390000000000001</v>
      </c>
      <c r="E154" s="522">
        <v>3.1349999999999998</v>
      </c>
      <c r="F154" s="523">
        <v>12.4</v>
      </c>
      <c r="G154" s="524" t="s">
        <v>3663</v>
      </c>
      <c r="H154" s="525" t="s">
        <v>3666</v>
      </c>
      <c r="I154" s="474"/>
      <c r="J154" s="475" t="s">
        <v>4308</v>
      </c>
    </row>
    <row r="155" spans="1:10" ht="14.25" customHeight="1">
      <c r="A155" s="528" t="s">
        <v>439</v>
      </c>
      <c r="B155" s="529" t="s">
        <v>440</v>
      </c>
      <c r="C155" s="528" t="s">
        <v>213</v>
      </c>
      <c r="D155" s="472">
        <v>4.9809999999999999</v>
      </c>
      <c r="E155" s="522">
        <v>5.8040000000000003</v>
      </c>
      <c r="F155" s="523">
        <v>14</v>
      </c>
      <c r="G155" s="524" t="s">
        <v>3663</v>
      </c>
      <c r="H155" s="525" t="s">
        <v>3666</v>
      </c>
      <c r="I155" s="474"/>
      <c r="J155" s="475" t="s">
        <v>4309</v>
      </c>
    </row>
    <row r="156" spans="1:10" ht="14.25" customHeight="1">
      <c r="A156" s="528" t="s">
        <v>441</v>
      </c>
      <c r="B156" s="529" t="s">
        <v>442</v>
      </c>
      <c r="C156" s="528" t="s">
        <v>213</v>
      </c>
      <c r="D156" s="472">
        <v>3.0390000000000001</v>
      </c>
      <c r="E156" s="522">
        <v>3.1349999999999998</v>
      </c>
      <c r="F156" s="523" t="s">
        <v>4166</v>
      </c>
      <c r="G156" s="524" t="s">
        <v>3663</v>
      </c>
      <c r="H156" s="525" t="s">
        <v>3666</v>
      </c>
      <c r="I156" s="474"/>
      <c r="J156" s="475" t="s">
        <v>4310</v>
      </c>
    </row>
    <row r="157" spans="1:10" ht="14.25" customHeight="1">
      <c r="A157" s="528" t="s">
        <v>443</v>
      </c>
      <c r="B157" s="529" t="s">
        <v>444</v>
      </c>
      <c r="C157" s="528" t="s">
        <v>213</v>
      </c>
      <c r="D157" s="472">
        <v>4.9809999999999999</v>
      </c>
      <c r="E157" s="522">
        <v>5.8040000000000003</v>
      </c>
      <c r="F157" s="523">
        <v>17</v>
      </c>
      <c r="G157" s="524" t="s">
        <v>3663</v>
      </c>
      <c r="H157" s="525" t="s">
        <v>3666</v>
      </c>
      <c r="I157" s="474"/>
      <c r="J157" s="475" t="s">
        <v>4311</v>
      </c>
    </row>
    <row r="158" spans="1:10" ht="14.25" customHeight="1">
      <c r="A158" s="528" t="s">
        <v>445</v>
      </c>
      <c r="B158" s="529" t="s">
        <v>446</v>
      </c>
      <c r="C158" s="528" t="s">
        <v>213</v>
      </c>
      <c r="D158" s="472">
        <v>3.0390000000000001</v>
      </c>
      <c r="E158" s="522">
        <v>3.1349999999999998</v>
      </c>
      <c r="F158" s="523" t="s">
        <v>4166</v>
      </c>
      <c r="G158" s="524" t="s">
        <v>3663</v>
      </c>
      <c r="H158" s="525" t="s">
        <v>3666</v>
      </c>
      <c r="I158" s="474"/>
      <c r="J158" s="475" t="s">
        <v>4312</v>
      </c>
    </row>
    <row r="159" spans="1:10" ht="14.25" customHeight="1">
      <c r="A159" s="528" t="s">
        <v>447</v>
      </c>
      <c r="B159" s="529" t="s">
        <v>448</v>
      </c>
      <c r="C159" s="528" t="s">
        <v>213</v>
      </c>
      <c r="D159" s="472">
        <v>8.14</v>
      </c>
      <c r="E159" s="522">
        <v>6.4960000000000004</v>
      </c>
      <c r="F159" s="523">
        <v>17.399999999999999</v>
      </c>
      <c r="G159" s="524" t="s">
        <v>3663</v>
      </c>
      <c r="H159" s="525" t="s">
        <v>3666</v>
      </c>
      <c r="I159" s="474"/>
      <c r="J159" s="475" t="s">
        <v>4313</v>
      </c>
    </row>
    <row r="160" spans="1:10" ht="14.25" customHeight="1">
      <c r="A160" s="528" t="s">
        <v>449</v>
      </c>
      <c r="B160" s="529" t="s">
        <v>450</v>
      </c>
      <c r="C160" s="528" t="s">
        <v>213</v>
      </c>
      <c r="D160" s="472">
        <v>3.0409999999999999</v>
      </c>
      <c r="E160" s="522">
        <v>3.1349999999999998</v>
      </c>
      <c r="F160" s="523" t="s">
        <v>4166</v>
      </c>
      <c r="G160" s="524" t="s">
        <v>3663</v>
      </c>
      <c r="H160" s="525" t="s">
        <v>3666</v>
      </c>
      <c r="I160" s="474"/>
      <c r="J160" s="475" t="s">
        <v>4314</v>
      </c>
    </row>
    <row r="161" spans="1:10" ht="14.25" customHeight="1">
      <c r="A161" s="528" t="s">
        <v>451</v>
      </c>
      <c r="B161" s="529" t="s">
        <v>452</v>
      </c>
      <c r="C161" s="528" t="s">
        <v>213</v>
      </c>
      <c r="D161" s="472">
        <v>8.9589999999999996</v>
      </c>
      <c r="E161" s="522">
        <v>7.15</v>
      </c>
      <c r="F161" s="523">
        <v>17.399999999999999</v>
      </c>
      <c r="G161" s="524" t="s">
        <v>3663</v>
      </c>
      <c r="H161" s="525" t="s">
        <v>3666</v>
      </c>
      <c r="I161" s="474"/>
      <c r="J161" s="475" t="s">
        <v>4315</v>
      </c>
    </row>
    <row r="162" spans="1:10" ht="14.25" customHeight="1">
      <c r="A162" s="528" t="s">
        <v>453</v>
      </c>
      <c r="B162" s="529" t="s">
        <v>454</v>
      </c>
      <c r="C162" s="528" t="s">
        <v>213</v>
      </c>
      <c r="D162" s="472">
        <v>3.0409999999999999</v>
      </c>
      <c r="E162" s="522">
        <v>3.1349999999999998</v>
      </c>
      <c r="F162" s="523" t="s">
        <v>4166</v>
      </c>
      <c r="G162" s="524" t="s">
        <v>3663</v>
      </c>
      <c r="H162" s="525" t="s">
        <v>3666</v>
      </c>
      <c r="I162" s="474"/>
      <c r="J162" s="475" t="s">
        <v>4316</v>
      </c>
    </row>
    <row r="163" spans="1:10" ht="14.25" customHeight="1">
      <c r="A163" s="528" t="s">
        <v>455</v>
      </c>
      <c r="B163" s="529" t="s">
        <v>456</v>
      </c>
      <c r="C163" s="528" t="s">
        <v>213</v>
      </c>
      <c r="D163" s="472">
        <v>8.9589999999999996</v>
      </c>
      <c r="E163" s="522">
        <v>7.15</v>
      </c>
      <c r="F163" s="523">
        <v>17.399999999999999</v>
      </c>
      <c r="G163" s="524" t="s">
        <v>3663</v>
      </c>
      <c r="H163" s="525" t="s">
        <v>3666</v>
      </c>
      <c r="I163" s="474"/>
      <c r="J163" s="475" t="s">
        <v>4317</v>
      </c>
    </row>
    <row r="164" spans="1:10" ht="14.25" customHeight="1">
      <c r="A164" s="528" t="s">
        <v>457</v>
      </c>
      <c r="B164" s="529" t="s">
        <v>458</v>
      </c>
      <c r="C164" s="528" t="s">
        <v>213</v>
      </c>
      <c r="D164" s="472">
        <v>3.0409999999999999</v>
      </c>
      <c r="E164" s="522">
        <v>3.1349999999999998</v>
      </c>
      <c r="F164" s="523" t="s">
        <v>4166</v>
      </c>
      <c r="G164" s="524" t="s">
        <v>3663</v>
      </c>
      <c r="H164" s="525" t="s">
        <v>3666</v>
      </c>
      <c r="I164" s="474"/>
      <c r="J164" s="475" t="s">
        <v>4318</v>
      </c>
    </row>
    <row r="165" spans="1:10" ht="14.25" customHeight="1">
      <c r="A165" s="532" t="s">
        <v>79</v>
      </c>
      <c r="B165" s="533" t="s">
        <v>459</v>
      </c>
      <c r="C165" s="532" t="s">
        <v>213</v>
      </c>
      <c r="D165" s="472">
        <v>4.9169999999999998</v>
      </c>
      <c r="E165" s="522">
        <v>3.774</v>
      </c>
      <c r="F165" s="523">
        <v>12.6</v>
      </c>
      <c r="G165" s="524" t="s">
        <v>3663</v>
      </c>
      <c r="H165" s="525" t="s">
        <v>3666</v>
      </c>
      <c r="I165" s="474"/>
      <c r="J165" s="475" t="s">
        <v>4319</v>
      </c>
    </row>
    <row r="166" spans="1:10" ht="14.25" customHeight="1">
      <c r="A166" s="532" t="s">
        <v>460</v>
      </c>
      <c r="B166" s="533" t="s">
        <v>461</v>
      </c>
      <c r="C166" s="532" t="s">
        <v>213</v>
      </c>
      <c r="D166" s="472">
        <v>2.8849999999999998</v>
      </c>
      <c r="E166" s="522">
        <v>2.2130000000000001</v>
      </c>
      <c r="F166" s="523" t="s">
        <v>4166</v>
      </c>
      <c r="G166" s="524" t="s">
        <v>3663</v>
      </c>
      <c r="H166" s="525" t="s">
        <v>3666</v>
      </c>
      <c r="I166" s="474"/>
      <c r="J166" s="475" t="s">
        <v>4320</v>
      </c>
    </row>
    <row r="167" spans="1:10" ht="14.25" customHeight="1">
      <c r="A167" s="532" t="s">
        <v>462</v>
      </c>
      <c r="B167" s="533" t="s">
        <v>463</v>
      </c>
      <c r="C167" s="532" t="s">
        <v>213</v>
      </c>
      <c r="D167" s="472">
        <v>7.2460000000000004</v>
      </c>
      <c r="E167" s="522">
        <v>5.952</v>
      </c>
      <c r="F167" s="523" t="s">
        <v>4166</v>
      </c>
      <c r="G167" s="524" t="s">
        <v>3663</v>
      </c>
      <c r="H167" s="525" t="s">
        <v>3666</v>
      </c>
      <c r="I167" s="474"/>
      <c r="J167" s="475" t="s">
        <v>4321</v>
      </c>
    </row>
    <row r="168" spans="1:10" ht="14.25" customHeight="1">
      <c r="A168" s="520" t="s">
        <v>464</v>
      </c>
      <c r="B168" s="521" t="s">
        <v>465</v>
      </c>
      <c r="C168" s="520" t="s">
        <v>213</v>
      </c>
      <c r="D168" s="472">
        <v>11.874000000000001</v>
      </c>
      <c r="E168" s="522">
        <v>9.7189999999999994</v>
      </c>
      <c r="F168" s="523">
        <v>46</v>
      </c>
      <c r="G168" s="524" t="s">
        <v>3663</v>
      </c>
      <c r="H168" s="525" t="s">
        <v>3666</v>
      </c>
      <c r="I168" s="474"/>
      <c r="J168" s="475" t="s">
        <v>4322</v>
      </c>
    </row>
    <row r="169" spans="1:10" ht="14.25" customHeight="1">
      <c r="A169" s="520" t="s">
        <v>466</v>
      </c>
      <c r="B169" s="521" t="s">
        <v>467</v>
      </c>
      <c r="C169" s="520" t="s">
        <v>213</v>
      </c>
      <c r="D169" s="472">
        <v>4.4930000000000003</v>
      </c>
      <c r="E169" s="522">
        <v>3.6779999999999999</v>
      </c>
      <c r="F169" s="523" t="s">
        <v>4166</v>
      </c>
      <c r="G169" s="524" t="s">
        <v>3663</v>
      </c>
      <c r="H169" s="525" t="s">
        <v>3666</v>
      </c>
      <c r="I169" s="474"/>
      <c r="J169" s="475" t="s">
        <v>4323</v>
      </c>
    </row>
    <row r="170" spans="1:10" ht="14.25" customHeight="1">
      <c r="A170" s="520" t="s">
        <v>3681</v>
      </c>
      <c r="B170" s="521" t="s">
        <v>3682</v>
      </c>
      <c r="C170" s="520" t="s">
        <v>213</v>
      </c>
      <c r="D170" s="472">
        <v>11.874000000000001</v>
      </c>
      <c r="E170" s="522">
        <v>9.7189999999999994</v>
      </c>
      <c r="F170" s="523" t="s">
        <v>4166</v>
      </c>
      <c r="G170" s="524" t="s">
        <v>3663</v>
      </c>
      <c r="H170" s="525" t="s">
        <v>3666</v>
      </c>
      <c r="I170" s="474"/>
      <c r="J170" s="475" t="s">
        <v>4324</v>
      </c>
    </row>
    <row r="171" spans="1:10" ht="14.25" customHeight="1">
      <c r="A171" s="520" t="s">
        <v>468</v>
      </c>
      <c r="B171" s="521" t="s">
        <v>469</v>
      </c>
      <c r="C171" s="520" t="s">
        <v>213</v>
      </c>
      <c r="D171" s="472">
        <v>17.178999999999998</v>
      </c>
      <c r="E171" s="522">
        <v>14.662000000000001</v>
      </c>
      <c r="F171" s="523">
        <v>46</v>
      </c>
      <c r="G171" s="524" t="s">
        <v>3663</v>
      </c>
      <c r="H171" s="525" t="s">
        <v>3666</v>
      </c>
      <c r="I171" s="474"/>
      <c r="J171" s="475" t="s">
        <v>4325</v>
      </c>
    </row>
    <row r="172" spans="1:10" ht="14.25" customHeight="1">
      <c r="A172" s="520" t="s">
        <v>470</v>
      </c>
      <c r="B172" s="521" t="s">
        <v>471</v>
      </c>
      <c r="C172" s="520" t="s">
        <v>213</v>
      </c>
      <c r="D172" s="472">
        <v>13.654999999999999</v>
      </c>
      <c r="E172" s="522">
        <v>11.176</v>
      </c>
      <c r="F172" s="523">
        <v>51.4</v>
      </c>
      <c r="G172" s="524" t="s">
        <v>3663</v>
      </c>
      <c r="H172" s="525" t="s">
        <v>3666</v>
      </c>
      <c r="I172" s="474"/>
      <c r="J172" s="475" t="s">
        <v>4326</v>
      </c>
    </row>
    <row r="173" spans="1:10" ht="14.25" customHeight="1">
      <c r="A173" s="520" t="s">
        <v>3683</v>
      </c>
      <c r="B173" s="521" t="s">
        <v>3684</v>
      </c>
      <c r="C173" s="520" t="s">
        <v>213</v>
      </c>
      <c r="D173" s="472">
        <v>13.654999999999999</v>
      </c>
      <c r="E173" s="522">
        <v>11.176</v>
      </c>
      <c r="F173" s="523">
        <v>51.4</v>
      </c>
      <c r="G173" s="524" t="s">
        <v>3663</v>
      </c>
      <c r="H173" s="525" t="s">
        <v>3666</v>
      </c>
      <c r="I173" s="474"/>
      <c r="J173" s="475" t="s">
        <v>4327</v>
      </c>
    </row>
    <row r="174" spans="1:10" ht="14.25" customHeight="1">
      <c r="A174" s="520" t="s">
        <v>472</v>
      </c>
      <c r="B174" s="521" t="s">
        <v>473</v>
      </c>
      <c r="C174" s="520" t="s">
        <v>213</v>
      </c>
      <c r="D174" s="472">
        <v>18.960999999999999</v>
      </c>
      <c r="E174" s="522">
        <v>16.12</v>
      </c>
      <c r="F174" s="523">
        <v>51.4</v>
      </c>
      <c r="G174" s="524" t="s">
        <v>3663</v>
      </c>
      <c r="H174" s="525" t="s">
        <v>3666</v>
      </c>
      <c r="I174" s="474"/>
      <c r="J174" s="475" t="s">
        <v>4328</v>
      </c>
    </row>
    <row r="175" spans="1:10" ht="14.25" customHeight="1">
      <c r="A175" s="520" t="s">
        <v>474</v>
      </c>
      <c r="B175" s="521" t="s">
        <v>475</v>
      </c>
      <c r="C175" s="520" t="s">
        <v>213</v>
      </c>
      <c r="D175" s="472">
        <v>22.57</v>
      </c>
      <c r="E175" s="522">
        <v>18.475999999999999</v>
      </c>
      <c r="F175" s="523" t="s">
        <v>4166</v>
      </c>
      <c r="G175" s="524" t="s">
        <v>3663</v>
      </c>
      <c r="H175" s="525" t="s">
        <v>3666</v>
      </c>
      <c r="I175" s="474"/>
      <c r="J175" s="475" t="s">
        <v>4329</v>
      </c>
    </row>
    <row r="176" spans="1:10" ht="14.25" customHeight="1">
      <c r="A176" s="520" t="s">
        <v>3685</v>
      </c>
      <c r="B176" s="521" t="s">
        <v>3686</v>
      </c>
      <c r="C176" s="520" t="s">
        <v>213</v>
      </c>
      <c r="D176" s="472">
        <v>22.57</v>
      </c>
      <c r="E176" s="522">
        <v>18.475999999999999</v>
      </c>
      <c r="F176" s="523" t="s">
        <v>4166</v>
      </c>
      <c r="G176" s="524" t="s">
        <v>3663</v>
      </c>
      <c r="H176" s="525" t="s">
        <v>3666</v>
      </c>
      <c r="I176" s="474"/>
      <c r="J176" s="475" t="s">
        <v>4330</v>
      </c>
    </row>
    <row r="177" spans="1:10" ht="14.25" customHeight="1">
      <c r="A177" s="520" t="s">
        <v>476</v>
      </c>
      <c r="B177" s="521" t="s">
        <v>477</v>
      </c>
      <c r="C177" s="520" t="s">
        <v>213</v>
      </c>
      <c r="D177" s="472">
        <v>27.875</v>
      </c>
      <c r="E177" s="522">
        <v>23.417999999999999</v>
      </c>
      <c r="F177" s="523" t="s">
        <v>4166</v>
      </c>
      <c r="G177" s="524" t="s">
        <v>3663</v>
      </c>
      <c r="H177" s="525" t="s">
        <v>3666</v>
      </c>
      <c r="I177" s="474"/>
      <c r="J177" s="475" t="s">
        <v>4331</v>
      </c>
    </row>
    <row r="178" spans="1:10" ht="14.25" customHeight="1">
      <c r="A178" s="520" t="s">
        <v>478</v>
      </c>
      <c r="B178" s="521" t="s">
        <v>479</v>
      </c>
      <c r="C178" s="520" t="s">
        <v>213</v>
      </c>
      <c r="D178" s="472">
        <v>7.09</v>
      </c>
      <c r="E178" s="522">
        <v>5.8029999999999999</v>
      </c>
      <c r="F178" s="523" t="s">
        <v>4166</v>
      </c>
      <c r="G178" s="524" t="s">
        <v>3663</v>
      </c>
      <c r="H178" s="525" t="s">
        <v>3666</v>
      </c>
      <c r="I178" s="474"/>
      <c r="J178" s="475" t="s">
        <v>4332</v>
      </c>
    </row>
    <row r="179" spans="1:10" ht="14.25" customHeight="1">
      <c r="A179" s="520" t="s">
        <v>3687</v>
      </c>
      <c r="B179" s="521" t="s">
        <v>3688</v>
      </c>
      <c r="C179" s="520" t="s">
        <v>213</v>
      </c>
      <c r="D179" s="472">
        <v>7.09</v>
      </c>
      <c r="E179" s="522">
        <v>5.8029999999999999</v>
      </c>
      <c r="F179" s="523" t="s">
        <v>4166</v>
      </c>
      <c r="G179" s="524" t="s">
        <v>3663</v>
      </c>
      <c r="H179" s="525" t="s">
        <v>3666</v>
      </c>
      <c r="I179" s="474"/>
      <c r="J179" s="475" t="s">
        <v>4333</v>
      </c>
    </row>
    <row r="180" spans="1:10" ht="14.25" customHeight="1">
      <c r="A180" s="520" t="s">
        <v>480</v>
      </c>
      <c r="B180" s="521" t="s">
        <v>481</v>
      </c>
      <c r="C180" s="520" t="s">
        <v>213</v>
      </c>
      <c r="D180" s="472">
        <v>9.4109999999999996</v>
      </c>
      <c r="E180" s="522">
        <v>7.9729999999999999</v>
      </c>
      <c r="F180" s="523" t="s">
        <v>4166</v>
      </c>
      <c r="G180" s="524" t="s">
        <v>3663</v>
      </c>
      <c r="H180" s="525" t="s">
        <v>3666</v>
      </c>
      <c r="I180" s="474"/>
      <c r="J180" s="475" t="s">
        <v>4334</v>
      </c>
    </row>
    <row r="181" spans="1:10" ht="14.25" customHeight="1">
      <c r="A181" s="532" t="s">
        <v>482</v>
      </c>
      <c r="B181" s="533" t="s">
        <v>483</v>
      </c>
      <c r="C181" s="532" t="s">
        <v>213</v>
      </c>
      <c r="D181" s="472">
        <v>11.874000000000001</v>
      </c>
      <c r="E181" s="522">
        <v>9.7189999999999994</v>
      </c>
      <c r="F181" s="523">
        <v>46</v>
      </c>
      <c r="G181" s="524" t="s">
        <v>3663</v>
      </c>
      <c r="H181" s="525" t="s">
        <v>3666</v>
      </c>
      <c r="I181" s="474"/>
      <c r="J181" s="475" t="s">
        <v>4335</v>
      </c>
    </row>
    <row r="182" spans="1:10" ht="14.25" customHeight="1">
      <c r="A182" s="532" t="s">
        <v>484</v>
      </c>
      <c r="B182" s="533" t="s">
        <v>485</v>
      </c>
      <c r="C182" s="532" t="s">
        <v>213</v>
      </c>
      <c r="D182" s="472">
        <v>4.4930000000000003</v>
      </c>
      <c r="E182" s="522">
        <v>3.6779999999999999</v>
      </c>
      <c r="F182" s="523" t="s">
        <v>4166</v>
      </c>
      <c r="G182" s="524" t="s">
        <v>3663</v>
      </c>
      <c r="H182" s="525" t="s">
        <v>3666</v>
      </c>
      <c r="I182" s="474"/>
      <c r="J182" s="475" t="s">
        <v>4336</v>
      </c>
    </row>
    <row r="183" spans="1:10" ht="14.25" customHeight="1">
      <c r="A183" s="532" t="s">
        <v>3689</v>
      </c>
      <c r="B183" s="533" t="s">
        <v>3690</v>
      </c>
      <c r="C183" s="532" t="s">
        <v>213</v>
      </c>
      <c r="D183" s="472">
        <v>11.874000000000001</v>
      </c>
      <c r="E183" s="522">
        <v>9.7189999999999994</v>
      </c>
      <c r="F183" s="523">
        <v>46</v>
      </c>
      <c r="G183" s="524" t="s">
        <v>3663</v>
      </c>
      <c r="H183" s="525" t="s">
        <v>3666</v>
      </c>
      <c r="I183" s="474"/>
      <c r="J183" s="475" t="s">
        <v>4337</v>
      </c>
    </row>
    <row r="184" spans="1:10" ht="14.25" customHeight="1">
      <c r="A184" s="532" t="s">
        <v>486</v>
      </c>
      <c r="B184" s="533" t="s">
        <v>487</v>
      </c>
      <c r="C184" s="532" t="s">
        <v>213</v>
      </c>
      <c r="D184" s="472">
        <v>17.178999999999998</v>
      </c>
      <c r="E184" s="522">
        <v>14.662000000000001</v>
      </c>
      <c r="F184" s="523">
        <v>46</v>
      </c>
      <c r="G184" s="524" t="s">
        <v>3663</v>
      </c>
      <c r="H184" s="525" t="s">
        <v>3666</v>
      </c>
      <c r="I184" s="474"/>
      <c r="J184" s="475" t="s">
        <v>4338</v>
      </c>
    </row>
    <row r="185" spans="1:10" ht="14.25" customHeight="1">
      <c r="A185" s="532" t="s">
        <v>488</v>
      </c>
      <c r="B185" s="533" t="s">
        <v>489</v>
      </c>
      <c r="C185" s="532" t="s">
        <v>213</v>
      </c>
      <c r="D185" s="472">
        <v>13.654999999999999</v>
      </c>
      <c r="E185" s="522">
        <v>11.176</v>
      </c>
      <c r="F185" s="523">
        <v>51</v>
      </c>
      <c r="G185" s="524" t="s">
        <v>3663</v>
      </c>
      <c r="H185" s="525" t="s">
        <v>3666</v>
      </c>
      <c r="I185" s="474"/>
      <c r="J185" s="475" t="s">
        <v>4339</v>
      </c>
    </row>
    <row r="186" spans="1:10" ht="14.25" customHeight="1">
      <c r="A186" s="532" t="s">
        <v>3691</v>
      </c>
      <c r="B186" s="533" t="s">
        <v>3692</v>
      </c>
      <c r="C186" s="532" t="s">
        <v>213</v>
      </c>
      <c r="D186" s="472">
        <v>13.654999999999999</v>
      </c>
      <c r="E186" s="522">
        <v>11.176</v>
      </c>
      <c r="F186" s="523">
        <v>51</v>
      </c>
      <c r="G186" s="524" t="s">
        <v>3663</v>
      </c>
      <c r="H186" s="525" t="s">
        <v>3666</v>
      </c>
      <c r="I186" s="474"/>
      <c r="J186" s="475" t="s">
        <v>4340</v>
      </c>
    </row>
    <row r="187" spans="1:10" ht="14.25" customHeight="1">
      <c r="A187" s="532" t="s">
        <v>490</v>
      </c>
      <c r="B187" s="533" t="s">
        <v>491</v>
      </c>
      <c r="C187" s="532" t="s">
        <v>213</v>
      </c>
      <c r="D187" s="472">
        <v>18.960999999999999</v>
      </c>
      <c r="E187" s="522">
        <v>16.12</v>
      </c>
      <c r="F187" s="523">
        <v>51</v>
      </c>
      <c r="G187" s="524" t="s">
        <v>3663</v>
      </c>
      <c r="H187" s="525" t="s">
        <v>3666</v>
      </c>
      <c r="I187" s="474"/>
      <c r="J187" s="475" t="s">
        <v>4341</v>
      </c>
    </row>
    <row r="188" spans="1:10" ht="14.25" customHeight="1">
      <c r="A188" s="532" t="s">
        <v>492</v>
      </c>
      <c r="B188" s="533" t="s">
        <v>493</v>
      </c>
      <c r="C188" s="532" t="s">
        <v>213</v>
      </c>
      <c r="D188" s="472">
        <v>22.57</v>
      </c>
      <c r="E188" s="522">
        <v>18.475999999999999</v>
      </c>
      <c r="F188" s="523" t="s">
        <v>4166</v>
      </c>
      <c r="G188" s="524" t="s">
        <v>3663</v>
      </c>
      <c r="H188" s="525" t="s">
        <v>3666</v>
      </c>
      <c r="I188" s="474"/>
      <c r="J188" s="475" t="s">
        <v>4342</v>
      </c>
    </row>
    <row r="189" spans="1:10" ht="14.25" customHeight="1">
      <c r="A189" s="532" t="s">
        <v>3693</v>
      </c>
      <c r="B189" s="533" t="s">
        <v>3694</v>
      </c>
      <c r="C189" s="532" t="s">
        <v>213</v>
      </c>
      <c r="D189" s="472">
        <v>22.57</v>
      </c>
      <c r="E189" s="522">
        <v>18.475999999999999</v>
      </c>
      <c r="F189" s="523" t="s">
        <v>4166</v>
      </c>
      <c r="G189" s="524" t="s">
        <v>3663</v>
      </c>
      <c r="H189" s="525" t="s">
        <v>3666</v>
      </c>
      <c r="I189" s="474"/>
      <c r="J189" s="475" t="s">
        <v>4343</v>
      </c>
    </row>
    <row r="190" spans="1:10" ht="14.25" customHeight="1">
      <c r="A190" s="532" t="s">
        <v>494</v>
      </c>
      <c r="B190" s="533" t="s">
        <v>495</v>
      </c>
      <c r="C190" s="532" t="s">
        <v>213</v>
      </c>
      <c r="D190" s="472">
        <v>27.875</v>
      </c>
      <c r="E190" s="522">
        <v>23.417999999999999</v>
      </c>
      <c r="F190" s="523" t="s">
        <v>4166</v>
      </c>
      <c r="G190" s="524" t="s">
        <v>3663</v>
      </c>
      <c r="H190" s="525" t="s">
        <v>3666</v>
      </c>
      <c r="I190" s="474"/>
      <c r="J190" s="475" t="s">
        <v>4344</v>
      </c>
    </row>
    <row r="191" spans="1:10" ht="14.25" customHeight="1">
      <c r="A191" s="532" t="s">
        <v>496</v>
      </c>
      <c r="B191" s="533" t="s">
        <v>497</v>
      </c>
      <c r="C191" s="532" t="s">
        <v>213</v>
      </c>
      <c r="D191" s="472">
        <v>7.09</v>
      </c>
      <c r="E191" s="522">
        <v>5.8029999999999999</v>
      </c>
      <c r="F191" s="523" t="s">
        <v>4166</v>
      </c>
      <c r="G191" s="524" t="s">
        <v>3663</v>
      </c>
      <c r="H191" s="525" t="s">
        <v>3666</v>
      </c>
      <c r="I191" s="474"/>
      <c r="J191" s="475" t="s">
        <v>4345</v>
      </c>
    </row>
    <row r="192" spans="1:10" ht="14.25" customHeight="1">
      <c r="A192" s="532" t="s">
        <v>3695</v>
      </c>
      <c r="B192" s="533" t="s">
        <v>3696</v>
      </c>
      <c r="C192" s="532" t="s">
        <v>213</v>
      </c>
      <c r="D192" s="472">
        <v>7.09</v>
      </c>
      <c r="E192" s="522">
        <v>5.8029999999999999</v>
      </c>
      <c r="F192" s="523" t="s">
        <v>4166</v>
      </c>
      <c r="G192" s="524" t="s">
        <v>3663</v>
      </c>
      <c r="H192" s="525" t="s">
        <v>3666</v>
      </c>
      <c r="I192" s="474"/>
      <c r="J192" s="475" t="s">
        <v>4346</v>
      </c>
    </row>
    <row r="193" spans="1:10" ht="14.25" customHeight="1">
      <c r="A193" s="532" t="s">
        <v>498</v>
      </c>
      <c r="B193" s="533" t="s">
        <v>499</v>
      </c>
      <c r="C193" s="532" t="s">
        <v>213</v>
      </c>
      <c r="D193" s="472">
        <v>9.4109999999999996</v>
      </c>
      <c r="E193" s="522">
        <v>7.9729999999999999</v>
      </c>
      <c r="F193" s="523" t="s">
        <v>4166</v>
      </c>
      <c r="G193" s="524" t="s">
        <v>3663</v>
      </c>
      <c r="H193" s="525" t="s">
        <v>3666</v>
      </c>
      <c r="I193" s="474"/>
      <c r="J193" s="475" t="s">
        <v>4347</v>
      </c>
    </row>
    <row r="194" spans="1:10" ht="15" customHeight="1">
      <c r="A194" s="520" t="s">
        <v>500</v>
      </c>
      <c r="B194" s="521" t="s">
        <v>501</v>
      </c>
      <c r="C194" s="520" t="s">
        <v>213</v>
      </c>
      <c r="D194" s="472">
        <v>9.6859999999999999</v>
      </c>
      <c r="E194" s="522">
        <v>7.9279999999999999</v>
      </c>
      <c r="F194" s="523" t="s">
        <v>4166</v>
      </c>
      <c r="G194" s="524" t="s">
        <v>3663</v>
      </c>
      <c r="H194" s="525" t="s">
        <v>3666</v>
      </c>
      <c r="I194" s="474"/>
      <c r="J194" s="475" t="s">
        <v>4348</v>
      </c>
    </row>
    <row r="195" spans="1:10" ht="14.25" customHeight="1">
      <c r="A195" s="520" t="s">
        <v>502</v>
      </c>
      <c r="B195" s="521" t="s">
        <v>503</v>
      </c>
      <c r="C195" s="520" t="s">
        <v>213</v>
      </c>
      <c r="D195" s="472">
        <v>4.4930000000000003</v>
      </c>
      <c r="E195" s="522">
        <v>3.6779999999999999</v>
      </c>
      <c r="F195" s="523" t="s">
        <v>4166</v>
      </c>
      <c r="G195" s="524" t="s">
        <v>3663</v>
      </c>
      <c r="H195" s="525" t="s">
        <v>3666</v>
      </c>
      <c r="I195" s="474"/>
      <c r="J195" s="475" t="s">
        <v>4349</v>
      </c>
    </row>
    <row r="196" spans="1:10" ht="15" customHeight="1">
      <c r="A196" s="520" t="s">
        <v>504</v>
      </c>
      <c r="B196" s="521" t="s">
        <v>505</v>
      </c>
      <c r="C196" s="520" t="s">
        <v>213</v>
      </c>
      <c r="D196" s="472">
        <v>9.6859999999999999</v>
      </c>
      <c r="E196" s="522">
        <v>7.9279999999999999</v>
      </c>
      <c r="F196" s="523" t="s">
        <v>4166</v>
      </c>
      <c r="G196" s="524" t="s">
        <v>3663</v>
      </c>
      <c r="H196" s="525" t="s">
        <v>3666</v>
      </c>
      <c r="I196" s="474"/>
      <c r="J196" s="475" t="s">
        <v>4350</v>
      </c>
    </row>
    <row r="197" spans="1:10" ht="14.25" customHeight="1">
      <c r="A197" s="520" t="s">
        <v>506</v>
      </c>
      <c r="B197" s="521" t="s">
        <v>507</v>
      </c>
      <c r="C197" s="520" t="s">
        <v>213</v>
      </c>
      <c r="D197" s="472">
        <v>14.991</v>
      </c>
      <c r="E197" s="522">
        <v>12.871</v>
      </c>
      <c r="F197" s="523" t="s">
        <v>4166</v>
      </c>
      <c r="G197" s="524" t="s">
        <v>3663</v>
      </c>
      <c r="H197" s="525" t="s">
        <v>3666</v>
      </c>
      <c r="I197" s="474"/>
      <c r="J197" s="475" t="s">
        <v>4351</v>
      </c>
    </row>
    <row r="198" spans="1:10" ht="14.25" customHeight="1">
      <c r="A198" s="520" t="s">
        <v>508</v>
      </c>
      <c r="B198" s="521" t="s">
        <v>509</v>
      </c>
      <c r="C198" s="520" t="s">
        <v>213</v>
      </c>
      <c r="D198" s="472">
        <v>11.467000000000001</v>
      </c>
      <c r="E198" s="522">
        <v>9.3870000000000005</v>
      </c>
      <c r="F198" s="523">
        <v>41.6</v>
      </c>
      <c r="G198" s="524" t="s">
        <v>3663</v>
      </c>
      <c r="H198" s="525" t="s">
        <v>3666</v>
      </c>
      <c r="I198" s="474"/>
      <c r="J198" s="475" t="s">
        <v>4352</v>
      </c>
    </row>
    <row r="199" spans="1:10" ht="14.25" customHeight="1">
      <c r="A199" s="520" t="s">
        <v>3697</v>
      </c>
      <c r="B199" s="521" t="s">
        <v>3698</v>
      </c>
      <c r="C199" s="520" t="s">
        <v>213</v>
      </c>
      <c r="D199" s="472">
        <v>11.467000000000001</v>
      </c>
      <c r="E199" s="522">
        <v>9.3870000000000005</v>
      </c>
      <c r="F199" s="523">
        <v>41.6</v>
      </c>
      <c r="G199" s="524" t="s">
        <v>3663</v>
      </c>
      <c r="H199" s="525" t="s">
        <v>3666</v>
      </c>
      <c r="I199" s="474"/>
      <c r="J199" s="475" t="s">
        <v>4353</v>
      </c>
    </row>
    <row r="200" spans="1:10" ht="14.25" customHeight="1">
      <c r="A200" s="520" t="s">
        <v>510</v>
      </c>
      <c r="B200" s="521" t="s">
        <v>511</v>
      </c>
      <c r="C200" s="520" t="s">
        <v>213</v>
      </c>
      <c r="D200" s="472">
        <v>16.771999999999998</v>
      </c>
      <c r="E200" s="522">
        <v>14.33</v>
      </c>
      <c r="F200" s="523">
        <v>41.6</v>
      </c>
      <c r="G200" s="524" t="s">
        <v>3663</v>
      </c>
      <c r="H200" s="525" t="s">
        <v>3666</v>
      </c>
      <c r="I200" s="474"/>
      <c r="J200" s="475" t="s">
        <v>4354</v>
      </c>
    </row>
    <row r="201" spans="1:10" ht="14.25" customHeight="1">
      <c r="A201" s="520" t="s">
        <v>512</v>
      </c>
      <c r="B201" s="521" t="s">
        <v>513</v>
      </c>
      <c r="C201" s="520" t="s">
        <v>213</v>
      </c>
      <c r="D201" s="472">
        <v>20.382999999999999</v>
      </c>
      <c r="E201" s="522">
        <v>16.686</v>
      </c>
      <c r="F201" s="523" t="s">
        <v>4166</v>
      </c>
      <c r="G201" s="524" t="s">
        <v>3663</v>
      </c>
      <c r="H201" s="525" t="s">
        <v>3666</v>
      </c>
      <c r="I201" s="474"/>
      <c r="J201" s="475" t="s">
        <v>4355</v>
      </c>
    </row>
    <row r="202" spans="1:10" ht="14.25" customHeight="1">
      <c r="A202" s="520" t="s">
        <v>514</v>
      </c>
      <c r="B202" s="521" t="s">
        <v>515</v>
      </c>
      <c r="C202" s="520" t="s">
        <v>213</v>
      </c>
      <c r="D202" s="472">
        <v>25.687999999999999</v>
      </c>
      <c r="E202" s="522">
        <v>21.626999999999999</v>
      </c>
      <c r="F202" s="523" t="s">
        <v>4166</v>
      </c>
      <c r="G202" s="524" t="s">
        <v>3663</v>
      </c>
      <c r="H202" s="525" t="s">
        <v>3666</v>
      </c>
      <c r="I202" s="474"/>
      <c r="J202" s="475" t="s">
        <v>4356</v>
      </c>
    </row>
    <row r="203" spans="1:10" ht="14.25" customHeight="1">
      <c r="A203" s="520" t="s">
        <v>516</v>
      </c>
      <c r="B203" s="521" t="s">
        <v>517</v>
      </c>
      <c r="C203" s="520" t="s">
        <v>213</v>
      </c>
      <c r="D203" s="472">
        <v>4.9009999999999998</v>
      </c>
      <c r="E203" s="522">
        <v>4.0119999999999996</v>
      </c>
      <c r="F203" s="523" t="s">
        <v>4166</v>
      </c>
      <c r="G203" s="524" t="s">
        <v>3663</v>
      </c>
      <c r="H203" s="525" t="s">
        <v>3666</v>
      </c>
      <c r="I203" s="474"/>
      <c r="J203" s="475" t="s">
        <v>4357</v>
      </c>
    </row>
    <row r="204" spans="1:10" ht="14.25" customHeight="1">
      <c r="A204" s="520" t="s">
        <v>518</v>
      </c>
      <c r="B204" s="521" t="s">
        <v>519</v>
      </c>
      <c r="C204" s="520" t="s">
        <v>213</v>
      </c>
      <c r="D204" s="472">
        <v>7.2229999999999999</v>
      </c>
      <c r="E204" s="522">
        <v>6.1840000000000002</v>
      </c>
      <c r="F204" s="523" t="s">
        <v>4166</v>
      </c>
      <c r="G204" s="524" t="s">
        <v>3663</v>
      </c>
      <c r="H204" s="525" t="s">
        <v>3666</v>
      </c>
      <c r="I204" s="474"/>
      <c r="J204" s="475" t="s">
        <v>4358</v>
      </c>
    </row>
    <row r="205" spans="1:10" ht="14.25" customHeight="1">
      <c r="A205" s="520" t="s">
        <v>520</v>
      </c>
      <c r="B205" s="521" t="s">
        <v>521</v>
      </c>
      <c r="C205" s="520" t="s">
        <v>213</v>
      </c>
      <c r="D205" s="472">
        <v>11.753</v>
      </c>
      <c r="E205" s="522">
        <v>9.6210000000000004</v>
      </c>
      <c r="F205" s="523">
        <v>45</v>
      </c>
      <c r="G205" s="524" t="s">
        <v>3663</v>
      </c>
      <c r="H205" s="525" t="s">
        <v>3666</v>
      </c>
      <c r="I205" s="474"/>
      <c r="J205" s="475" t="s">
        <v>4359</v>
      </c>
    </row>
    <row r="206" spans="1:10" ht="14.25" customHeight="1">
      <c r="A206" s="520" t="s">
        <v>522</v>
      </c>
      <c r="B206" s="521" t="s">
        <v>523</v>
      </c>
      <c r="C206" s="520" t="s">
        <v>213</v>
      </c>
      <c r="D206" s="472">
        <v>4.7089999999999996</v>
      </c>
      <c r="E206" s="522">
        <v>3.8540000000000001</v>
      </c>
      <c r="F206" s="523">
        <v>34.6</v>
      </c>
      <c r="G206" s="524" t="s">
        <v>3663</v>
      </c>
      <c r="H206" s="525" t="s">
        <v>3666</v>
      </c>
      <c r="I206" s="474"/>
      <c r="J206" s="475" t="s">
        <v>4360</v>
      </c>
    </row>
    <row r="207" spans="1:10" ht="14.25" customHeight="1">
      <c r="A207" s="520" t="s">
        <v>524</v>
      </c>
      <c r="B207" s="521" t="s">
        <v>525</v>
      </c>
      <c r="C207" s="520" t="s">
        <v>213</v>
      </c>
      <c r="D207" s="472">
        <v>15.375</v>
      </c>
      <c r="E207" s="522">
        <v>12.584</v>
      </c>
      <c r="F207" s="523">
        <v>45</v>
      </c>
      <c r="G207" s="524" t="s">
        <v>3663</v>
      </c>
      <c r="H207" s="525" t="s">
        <v>3666</v>
      </c>
      <c r="I207" s="474"/>
      <c r="J207" s="475" t="s">
        <v>4361</v>
      </c>
    </row>
    <row r="208" spans="1:10" ht="14.25" customHeight="1">
      <c r="A208" s="520" t="s">
        <v>526</v>
      </c>
      <c r="B208" s="521" t="s">
        <v>527</v>
      </c>
      <c r="C208" s="520" t="s">
        <v>213</v>
      </c>
      <c r="D208" s="472">
        <v>14.349</v>
      </c>
      <c r="E208" s="522">
        <v>11.744999999999999</v>
      </c>
      <c r="F208" s="523">
        <v>74.599999999999994</v>
      </c>
      <c r="G208" s="524" t="s">
        <v>3663</v>
      </c>
      <c r="H208" s="525" t="s">
        <v>3666</v>
      </c>
      <c r="I208" s="474"/>
      <c r="J208" s="475" t="s">
        <v>4362</v>
      </c>
    </row>
    <row r="209" spans="1:10" ht="14.25" customHeight="1">
      <c r="A209" s="520" t="s">
        <v>528</v>
      </c>
      <c r="B209" s="521" t="s">
        <v>529</v>
      </c>
      <c r="C209" s="520" t="s">
        <v>213</v>
      </c>
      <c r="D209" s="472">
        <v>5.7220000000000004</v>
      </c>
      <c r="E209" s="522">
        <v>4.6840000000000002</v>
      </c>
      <c r="F209" s="523">
        <v>60</v>
      </c>
      <c r="G209" s="524" t="s">
        <v>3663</v>
      </c>
      <c r="H209" s="525" t="s">
        <v>3666</v>
      </c>
      <c r="I209" s="474"/>
      <c r="J209" s="475" t="s">
        <v>4363</v>
      </c>
    </row>
    <row r="210" spans="1:10" ht="14.25" customHeight="1">
      <c r="A210" s="520" t="s">
        <v>530</v>
      </c>
      <c r="B210" s="521" t="s">
        <v>531</v>
      </c>
      <c r="C210" s="520" t="s">
        <v>213</v>
      </c>
      <c r="D210" s="472">
        <v>17.983000000000001</v>
      </c>
      <c r="E210" s="522">
        <v>14.72</v>
      </c>
      <c r="F210" s="523">
        <v>74.599999999999994</v>
      </c>
      <c r="G210" s="524" t="s">
        <v>3663</v>
      </c>
      <c r="H210" s="525" t="s">
        <v>3666</v>
      </c>
      <c r="I210" s="474"/>
      <c r="J210" s="475" t="s">
        <v>4364</v>
      </c>
    </row>
    <row r="211" spans="1:10" ht="14.25" customHeight="1">
      <c r="A211" s="520" t="s">
        <v>532</v>
      </c>
      <c r="B211" s="521" t="s">
        <v>533</v>
      </c>
      <c r="C211" s="520" t="s">
        <v>213</v>
      </c>
      <c r="D211" s="472">
        <v>16.956</v>
      </c>
      <c r="E211" s="522">
        <v>13.88</v>
      </c>
      <c r="F211" s="523">
        <v>98.8</v>
      </c>
      <c r="G211" s="524" t="s">
        <v>3663</v>
      </c>
      <c r="H211" s="525" t="s">
        <v>3666</v>
      </c>
      <c r="I211" s="474"/>
      <c r="J211" s="475" t="s">
        <v>4365</v>
      </c>
    </row>
    <row r="212" spans="1:10" ht="14.25" customHeight="1">
      <c r="A212" s="520" t="s">
        <v>534</v>
      </c>
      <c r="B212" s="521" t="s">
        <v>535</v>
      </c>
      <c r="C212" s="520" t="s">
        <v>213</v>
      </c>
      <c r="D212" s="472">
        <v>6.734</v>
      </c>
      <c r="E212" s="522">
        <v>5.5140000000000002</v>
      </c>
      <c r="F212" s="523">
        <v>79.599999999999994</v>
      </c>
      <c r="G212" s="524" t="s">
        <v>3663</v>
      </c>
      <c r="H212" s="525" t="s">
        <v>3666</v>
      </c>
      <c r="I212" s="474"/>
      <c r="J212" s="475" t="s">
        <v>4366</v>
      </c>
    </row>
    <row r="213" spans="1:10" ht="14.25" customHeight="1">
      <c r="A213" s="520" t="s">
        <v>536</v>
      </c>
      <c r="B213" s="521" t="s">
        <v>537</v>
      </c>
      <c r="C213" s="520" t="s">
        <v>213</v>
      </c>
      <c r="D213" s="472">
        <v>20.577000000000002</v>
      </c>
      <c r="E213" s="522">
        <v>16.844999999999999</v>
      </c>
      <c r="F213" s="523">
        <v>98.8</v>
      </c>
      <c r="G213" s="524" t="s">
        <v>3663</v>
      </c>
      <c r="H213" s="525" t="s">
        <v>3666</v>
      </c>
      <c r="I213" s="474"/>
      <c r="J213" s="475" t="s">
        <v>4367</v>
      </c>
    </row>
    <row r="214" spans="1:10" ht="14.25" customHeight="1">
      <c r="A214" s="520" t="s">
        <v>538</v>
      </c>
      <c r="B214" s="521" t="s">
        <v>539</v>
      </c>
      <c r="C214" s="520" t="s">
        <v>213</v>
      </c>
      <c r="D214" s="472">
        <v>19.959</v>
      </c>
      <c r="E214" s="522">
        <v>16.338999999999999</v>
      </c>
      <c r="F214" s="523">
        <v>123.2</v>
      </c>
      <c r="G214" s="524" t="s">
        <v>3663</v>
      </c>
      <c r="H214" s="525" t="s">
        <v>3666</v>
      </c>
      <c r="I214" s="474"/>
      <c r="J214" s="475" t="s">
        <v>4368</v>
      </c>
    </row>
    <row r="215" spans="1:10" ht="14.25" customHeight="1">
      <c r="A215" s="520" t="s">
        <v>540</v>
      </c>
      <c r="B215" s="521" t="s">
        <v>541</v>
      </c>
      <c r="C215" s="520" t="s">
        <v>213</v>
      </c>
      <c r="D215" s="472">
        <v>8.1440000000000001</v>
      </c>
      <c r="E215" s="522">
        <v>6.6639999999999997</v>
      </c>
      <c r="F215" s="523">
        <v>101</v>
      </c>
      <c r="G215" s="524" t="s">
        <v>3663</v>
      </c>
      <c r="H215" s="525" t="s">
        <v>3666</v>
      </c>
      <c r="I215" s="474"/>
      <c r="J215" s="475" t="s">
        <v>4369</v>
      </c>
    </row>
    <row r="216" spans="1:10" ht="14.25" customHeight="1">
      <c r="A216" s="520" t="s">
        <v>542</v>
      </c>
      <c r="B216" s="521" t="s">
        <v>543</v>
      </c>
      <c r="C216" s="520" t="s">
        <v>213</v>
      </c>
      <c r="D216" s="472">
        <v>22.295000000000002</v>
      </c>
      <c r="E216" s="522">
        <v>18.513999999999999</v>
      </c>
      <c r="F216" s="523">
        <v>123.2</v>
      </c>
      <c r="G216" s="524" t="s">
        <v>3663</v>
      </c>
      <c r="H216" s="525" t="s">
        <v>3666</v>
      </c>
      <c r="I216" s="474"/>
      <c r="J216" s="475" t="s">
        <v>4370</v>
      </c>
    </row>
    <row r="217" spans="1:10" ht="14.25" customHeight="1">
      <c r="A217" s="520" t="s">
        <v>544</v>
      </c>
      <c r="B217" s="521" t="s">
        <v>545</v>
      </c>
      <c r="C217" s="520" t="s">
        <v>213</v>
      </c>
      <c r="D217" s="472">
        <v>17.157</v>
      </c>
      <c r="E217" s="522">
        <v>12.972</v>
      </c>
      <c r="F217" s="523">
        <v>31.26</v>
      </c>
      <c r="G217" s="524" t="s">
        <v>3663</v>
      </c>
      <c r="H217" s="525" t="s">
        <v>3666</v>
      </c>
      <c r="I217" s="474"/>
      <c r="J217" s="475" t="s">
        <v>4371</v>
      </c>
    </row>
    <row r="218" spans="1:10" ht="14.25" customHeight="1">
      <c r="A218" s="520" t="s">
        <v>546</v>
      </c>
      <c r="B218" s="521" t="s">
        <v>547</v>
      </c>
      <c r="C218" s="520" t="s">
        <v>213</v>
      </c>
      <c r="D218" s="472">
        <v>4.1609999999999996</v>
      </c>
      <c r="E218" s="522">
        <v>3.145</v>
      </c>
      <c r="F218" s="523" t="s">
        <v>4166</v>
      </c>
      <c r="G218" s="524" t="s">
        <v>3663</v>
      </c>
      <c r="H218" s="525" t="s">
        <v>3666</v>
      </c>
      <c r="I218" s="474"/>
      <c r="J218" s="475" t="s">
        <v>4372</v>
      </c>
    </row>
    <row r="219" spans="1:10" ht="14.25" customHeight="1">
      <c r="A219" s="520" t="s">
        <v>548</v>
      </c>
      <c r="B219" s="521" t="s">
        <v>549</v>
      </c>
      <c r="C219" s="520" t="s">
        <v>213</v>
      </c>
      <c r="D219" s="472">
        <v>6.7910000000000004</v>
      </c>
      <c r="E219" s="522">
        <v>5.5609999999999999</v>
      </c>
      <c r="F219" s="523" t="s">
        <v>4166</v>
      </c>
      <c r="G219" s="524" t="s">
        <v>3663</v>
      </c>
      <c r="H219" s="525" t="s">
        <v>3666</v>
      </c>
      <c r="I219" s="474"/>
      <c r="J219" s="475" t="s">
        <v>4373</v>
      </c>
    </row>
    <row r="220" spans="1:10" ht="14.25" customHeight="1">
      <c r="A220" s="520" t="s">
        <v>550</v>
      </c>
      <c r="B220" s="521" t="s">
        <v>551</v>
      </c>
      <c r="C220" s="520" t="s">
        <v>213</v>
      </c>
      <c r="D220" s="472">
        <v>3.07</v>
      </c>
      <c r="E220" s="522">
        <v>2.3199999999999998</v>
      </c>
      <c r="F220" s="523" t="s">
        <v>4166</v>
      </c>
      <c r="G220" s="524" t="s">
        <v>3663</v>
      </c>
      <c r="H220" s="525" t="s">
        <v>3666</v>
      </c>
      <c r="I220" s="474"/>
      <c r="J220" s="475" t="s">
        <v>4374</v>
      </c>
    </row>
    <row r="221" spans="1:10" ht="14.25" customHeight="1">
      <c r="A221" s="520" t="s">
        <v>552</v>
      </c>
      <c r="B221" s="521" t="s">
        <v>553</v>
      </c>
      <c r="C221" s="520" t="s">
        <v>213</v>
      </c>
      <c r="D221" s="472">
        <v>19.484999999999999</v>
      </c>
      <c r="E221" s="522">
        <v>15.144</v>
      </c>
      <c r="F221" s="523" t="s">
        <v>4166</v>
      </c>
      <c r="G221" s="524" t="s">
        <v>3663</v>
      </c>
      <c r="H221" s="525" t="s">
        <v>3666</v>
      </c>
      <c r="I221" s="474"/>
      <c r="J221" s="475" t="s">
        <v>4375</v>
      </c>
    </row>
    <row r="222" spans="1:10" ht="14.25" customHeight="1">
      <c r="A222" s="520" t="s">
        <v>554</v>
      </c>
      <c r="B222" s="521" t="s">
        <v>555</v>
      </c>
      <c r="C222" s="520" t="s">
        <v>213</v>
      </c>
      <c r="D222" s="472">
        <v>2.12</v>
      </c>
      <c r="E222" s="522">
        <v>1.6020000000000001</v>
      </c>
      <c r="F222" s="523" t="s">
        <v>4166</v>
      </c>
      <c r="G222" s="526" t="s">
        <v>3668</v>
      </c>
      <c r="H222" s="525" t="s">
        <v>3669</v>
      </c>
      <c r="I222" s="474">
        <v>4016.93</v>
      </c>
      <c r="J222" s="475" t="s">
        <v>4376</v>
      </c>
    </row>
    <row r="223" spans="1:10" ht="14.25" customHeight="1">
      <c r="A223" s="534" t="s">
        <v>3097</v>
      </c>
      <c r="B223" s="535" t="s">
        <v>3098</v>
      </c>
      <c r="C223" s="536" t="s">
        <v>213</v>
      </c>
      <c r="D223" s="472">
        <v>51.616</v>
      </c>
      <c r="E223" s="522">
        <v>42.250999999999998</v>
      </c>
      <c r="F223" s="523">
        <v>42</v>
      </c>
      <c r="G223" s="524" t="s">
        <v>3663</v>
      </c>
      <c r="H223" s="525" t="s">
        <v>3699</v>
      </c>
      <c r="I223" s="474"/>
      <c r="J223" s="475" t="s">
        <v>4377</v>
      </c>
    </row>
    <row r="224" spans="1:10" ht="14.25" customHeight="1">
      <c r="A224" s="520" t="s">
        <v>556</v>
      </c>
      <c r="B224" s="521" t="s">
        <v>557</v>
      </c>
      <c r="C224" s="520" t="s">
        <v>213</v>
      </c>
      <c r="D224" s="472">
        <v>11.757</v>
      </c>
      <c r="E224" s="522">
        <v>9.625</v>
      </c>
      <c r="F224" s="523">
        <v>21</v>
      </c>
      <c r="G224" s="524" t="s">
        <v>3663</v>
      </c>
      <c r="H224" s="525" t="s">
        <v>3699</v>
      </c>
      <c r="I224" s="474"/>
      <c r="J224" s="475" t="s">
        <v>4378</v>
      </c>
    </row>
    <row r="225" spans="1:10" ht="14.25" customHeight="1">
      <c r="A225" s="520" t="s">
        <v>558</v>
      </c>
      <c r="B225" s="521" t="s">
        <v>559</v>
      </c>
      <c r="C225" s="520" t="s">
        <v>213</v>
      </c>
      <c r="D225" s="472">
        <v>5.1619999999999999</v>
      </c>
      <c r="E225" s="522">
        <v>4.2249999999999996</v>
      </c>
      <c r="F225" s="523">
        <v>6.2</v>
      </c>
      <c r="G225" s="524" t="s">
        <v>3663</v>
      </c>
      <c r="H225" s="525" t="s">
        <v>3699</v>
      </c>
      <c r="I225" s="474"/>
      <c r="J225" s="475" t="s">
        <v>4379</v>
      </c>
    </row>
    <row r="226" spans="1:10" ht="14.25" customHeight="1">
      <c r="A226" s="520" t="s">
        <v>560</v>
      </c>
      <c r="B226" s="521" t="s">
        <v>561</v>
      </c>
      <c r="C226" s="520" t="s">
        <v>213</v>
      </c>
      <c r="D226" s="472">
        <v>3.0350000000000001</v>
      </c>
      <c r="E226" s="522">
        <v>2.4830000000000001</v>
      </c>
      <c r="F226" s="523">
        <v>6.1</v>
      </c>
      <c r="G226" s="524" t="s">
        <v>3663</v>
      </c>
      <c r="H226" s="525" t="s">
        <v>3699</v>
      </c>
      <c r="I226" s="474"/>
      <c r="J226" s="475" t="s">
        <v>4380</v>
      </c>
    </row>
    <row r="227" spans="1:10" ht="14.25" customHeight="1">
      <c r="A227" s="520" t="s">
        <v>562</v>
      </c>
      <c r="B227" s="521" t="s">
        <v>563</v>
      </c>
      <c r="C227" s="520" t="s">
        <v>213</v>
      </c>
      <c r="D227" s="472">
        <v>1.732</v>
      </c>
      <c r="E227" s="522">
        <v>1.4179999999999999</v>
      </c>
      <c r="F227" s="523">
        <v>0.56999999999999995</v>
      </c>
      <c r="G227" s="524" t="s">
        <v>3663</v>
      </c>
      <c r="H227" s="525" t="s">
        <v>3699</v>
      </c>
      <c r="I227" s="474"/>
      <c r="J227" s="475" t="s">
        <v>4381</v>
      </c>
    </row>
    <row r="228" spans="1:10" ht="14.25" customHeight="1">
      <c r="A228" s="520" t="s">
        <v>564</v>
      </c>
      <c r="B228" s="521" t="s">
        <v>565</v>
      </c>
      <c r="C228" s="520" t="s">
        <v>213</v>
      </c>
      <c r="D228" s="472">
        <v>48.661999999999999</v>
      </c>
      <c r="E228" s="522">
        <v>39.832999999999998</v>
      </c>
      <c r="F228" s="523">
        <v>32</v>
      </c>
      <c r="G228" s="524" t="s">
        <v>3663</v>
      </c>
      <c r="H228" s="525" t="s">
        <v>3699</v>
      </c>
      <c r="I228" s="474"/>
      <c r="J228" s="475" t="s">
        <v>4382</v>
      </c>
    </row>
    <row r="229" spans="1:10" ht="14.25" customHeight="1">
      <c r="A229" s="520" t="s">
        <v>566</v>
      </c>
      <c r="B229" s="521" t="s">
        <v>567</v>
      </c>
      <c r="C229" s="520" t="s">
        <v>213</v>
      </c>
      <c r="D229" s="472">
        <v>2.3450000000000002</v>
      </c>
      <c r="E229" s="522">
        <v>1.92</v>
      </c>
      <c r="F229" s="523">
        <v>1.9700000000000002</v>
      </c>
      <c r="G229" s="524" t="s">
        <v>3663</v>
      </c>
      <c r="H229" s="525" t="s">
        <v>3699</v>
      </c>
      <c r="I229" s="474"/>
      <c r="J229" s="475" t="s">
        <v>4383</v>
      </c>
    </row>
    <row r="230" spans="1:10" ht="14.25" customHeight="1">
      <c r="A230" s="520" t="s">
        <v>568</v>
      </c>
      <c r="B230" s="521" t="s">
        <v>569</v>
      </c>
      <c r="C230" s="520" t="s">
        <v>213</v>
      </c>
      <c r="D230" s="472">
        <v>1.6339999999999999</v>
      </c>
      <c r="E230" s="522">
        <v>1.337</v>
      </c>
      <c r="F230" s="523">
        <v>0.87</v>
      </c>
      <c r="G230" s="524" t="s">
        <v>3663</v>
      </c>
      <c r="H230" s="525" t="s">
        <v>3699</v>
      </c>
      <c r="I230" s="474"/>
      <c r="J230" s="475" t="s">
        <v>4384</v>
      </c>
    </row>
    <row r="231" spans="1:10" ht="14.25" customHeight="1">
      <c r="A231" s="520" t="s">
        <v>570</v>
      </c>
      <c r="B231" s="521" t="s">
        <v>571</v>
      </c>
      <c r="C231" s="520" t="s">
        <v>213</v>
      </c>
      <c r="D231" s="472">
        <v>0.71</v>
      </c>
      <c r="E231" s="522">
        <v>0.58099999999999996</v>
      </c>
      <c r="F231" s="523">
        <v>1.1000000000000001</v>
      </c>
      <c r="G231" s="526" t="s">
        <v>3668</v>
      </c>
      <c r="H231" s="525" t="s">
        <v>3700</v>
      </c>
      <c r="I231" s="474"/>
      <c r="J231" s="475" t="s">
        <v>4385</v>
      </c>
    </row>
    <row r="232" spans="1:10" ht="14.25" customHeight="1">
      <c r="A232" s="520" t="s">
        <v>572</v>
      </c>
      <c r="B232" s="521" t="s">
        <v>573</v>
      </c>
      <c r="C232" s="520" t="s">
        <v>213</v>
      </c>
      <c r="D232" s="472">
        <v>0.76600000000000001</v>
      </c>
      <c r="E232" s="522">
        <v>0.628</v>
      </c>
      <c r="F232" s="523">
        <v>0.5</v>
      </c>
      <c r="G232" s="526" t="s">
        <v>3668</v>
      </c>
      <c r="H232" s="525" t="s">
        <v>3701</v>
      </c>
      <c r="I232" s="474"/>
      <c r="J232" s="475" t="s">
        <v>4386</v>
      </c>
    </row>
    <row r="233" spans="1:10" ht="14.25" customHeight="1">
      <c r="A233" s="520" t="s">
        <v>574</v>
      </c>
      <c r="B233" s="521" t="s">
        <v>575</v>
      </c>
      <c r="C233" s="520" t="s">
        <v>213</v>
      </c>
      <c r="D233" s="472">
        <v>0.498</v>
      </c>
      <c r="E233" s="522">
        <v>0.40899999999999997</v>
      </c>
      <c r="F233" s="523">
        <v>0.9</v>
      </c>
      <c r="G233" s="526" t="s">
        <v>3668</v>
      </c>
      <c r="H233" s="525" t="s">
        <v>3669</v>
      </c>
      <c r="I233" s="474">
        <v>4016.93</v>
      </c>
      <c r="J233" s="475" t="s">
        <v>4387</v>
      </c>
    </row>
    <row r="234" spans="1:10" ht="14.25" customHeight="1">
      <c r="A234" s="520" t="s">
        <v>576</v>
      </c>
      <c r="B234" s="521" t="s">
        <v>577</v>
      </c>
      <c r="C234" s="520" t="s">
        <v>213</v>
      </c>
      <c r="D234" s="472">
        <v>0.66500000000000004</v>
      </c>
      <c r="E234" s="522">
        <v>0.54400000000000004</v>
      </c>
      <c r="F234" s="523">
        <v>0.9</v>
      </c>
      <c r="G234" s="526" t="s">
        <v>3668</v>
      </c>
      <c r="H234" s="525" t="s">
        <v>3669</v>
      </c>
      <c r="I234" s="474">
        <v>4016.93</v>
      </c>
      <c r="J234" s="475" t="s">
        <v>4388</v>
      </c>
    </row>
    <row r="235" spans="1:10" ht="14.25" customHeight="1">
      <c r="A235" s="520" t="s">
        <v>578</v>
      </c>
      <c r="B235" s="521" t="s">
        <v>579</v>
      </c>
      <c r="C235" s="520" t="s">
        <v>213</v>
      </c>
      <c r="D235" s="472">
        <v>2.214</v>
      </c>
      <c r="E235" s="522">
        <v>1.8129999999999999</v>
      </c>
      <c r="F235" s="523">
        <v>1.5</v>
      </c>
      <c r="G235" s="524" t="s">
        <v>3663</v>
      </c>
      <c r="H235" s="525" t="s">
        <v>3699</v>
      </c>
      <c r="I235" s="474"/>
      <c r="J235" s="475" t="s">
        <v>4389</v>
      </c>
    </row>
    <row r="236" spans="1:10" ht="14.25" customHeight="1">
      <c r="A236" s="537" t="s">
        <v>3702</v>
      </c>
      <c r="B236" s="521" t="s">
        <v>3703</v>
      </c>
      <c r="C236" s="520" t="s">
        <v>213</v>
      </c>
      <c r="D236" s="538">
        <v>2.214</v>
      </c>
      <c r="E236" s="522">
        <v>1.8129999999999999</v>
      </c>
      <c r="F236" s="523">
        <v>1.5</v>
      </c>
      <c r="G236" s="524" t="s">
        <v>3663</v>
      </c>
      <c r="H236" s="525" t="s">
        <v>3699</v>
      </c>
      <c r="I236" s="474"/>
      <c r="J236" s="475" t="s">
        <v>4390</v>
      </c>
    </row>
    <row r="237" spans="1:10" ht="14.25" customHeight="1">
      <c r="A237" s="471" t="s">
        <v>580</v>
      </c>
      <c r="B237" s="521" t="s">
        <v>581</v>
      </c>
      <c r="C237" s="520" t="s">
        <v>213</v>
      </c>
      <c r="D237" s="472">
        <v>2.214</v>
      </c>
      <c r="E237" s="522">
        <v>1.8129999999999999</v>
      </c>
      <c r="F237" s="523">
        <v>1.5</v>
      </c>
      <c r="G237" s="524" t="s">
        <v>3663</v>
      </c>
      <c r="H237" s="525" t="s">
        <v>3699</v>
      </c>
      <c r="I237" s="474"/>
      <c r="J237" s="475" t="s">
        <v>4391</v>
      </c>
    </row>
    <row r="238" spans="1:10" ht="14.25" customHeight="1">
      <c r="A238" s="539" t="s">
        <v>3704</v>
      </c>
      <c r="B238" s="521" t="s">
        <v>3705</v>
      </c>
      <c r="C238" s="520" t="s">
        <v>213</v>
      </c>
      <c r="D238" s="538">
        <v>2.214</v>
      </c>
      <c r="E238" s="522">
        <v>1.8129999999999999</v>
      </c>
      <c r="F238" s="523">
        <v>1.5</v>
      </c>
      <c r="G238" s="524" t="s">
        <v>3663</v>
      </c>
      <c r="H238" s="525" t="s">
        <v>3699</v>
      </c>
      <c r="I238" s="474"/>
      <c r="J238" s="475" t="s">
        <v>4392</v>
      </c>
    </row>
    <row r="239" spans="1:10" ht="14.25" customHeight="1">
      <c r="A239" s="471" t="s">
        <v>582</v>
      </c>
      <c r="B239" s="521" t="s">
        <v>583</v>
      </c>
      <c r="C239" s="520" t="s">
        <v>213</v>
      </c>
      <c r="D239" s="472">
        <v>2.214</v>
      </c>
      <c r="E239" s="522">
        <v>1.8129999999999999</v>
      </c>
      <c r="F239" s="523">
        <v>1.5</v>
      </c>
      <c r="G239" s="524" t="s">
        <v>3663</v>
      </c>
      <c r="H239" s="525" t="s">
        <v>3699</v>
      </c>
      <c r="I239" s="474"/>
      <c r="J239" s="475" t="s">
        <v>4393</v>
      </c>
    </row>
    <row r="240" spans="1:10" ht="14.25" customHeight="1">
      <c r="A240" s="539" t="s">
        <v>3706</v>
      </c>
      <c r="B240" s="521" t="s">
        <v>3707</v>
      </c>
      <c r="C240" s="520" t="s">
        <v>213</v>
      </c>
      <c r="D240" s="538">
        <v>2.214</v>
      </c>
      <c r="E240" s="522">
        <v>1.8129999999999999</v>
      </c>
      <c r="F240" s="523">
        <v>1.5</v>
      </c>
      <c r="G240" s="524" t="s">
        <v>3663</v>
      </c>
      <c r="H240" s="525" t="s">
        <v>3699</v>
      </c>
      <c r="I240" s="474"/>
      <c r="J240" s="475" t="s">
        <v>4394</v>
      </c>
    </row>
    <row r="241" spans="1:10" ht="12.75" customHeight="1">
      <c r="A241" s="520" t="s">
        <v>584</v>
      </c>
      <c r="B241" s="521" t="s">
        <v>585</v>
      </c>
      <c r="C241" s="520" t="s">
        <v>213</v>
      </c>
      <c r="D241" s="472">
        <v>2.214</v>
      </c>
      <c r="E241" s="522">
        <v>1.8129999999999999</v>
      </c>
      <c r="F241" s="523">
        <v>1.5</v>
      </c>
      <c r="G241" s="524" t="s">
        <v>3663</v>
      </c>
      <c r="H241" s="525" t="s">
        <v>3699</v>
      </c>
      <c r="I241" s="474"/>
      <c r="J241" s="475" t="s">
        <v>4395</v>
      </c>
    </row>
    <row r="242" spans="1:10" ht="12.75" customHeight="1">
      <c r="A242" s="537" t="s">
        <v>3708</v>
      </c>
      <c r="B242" s="521" t="s">
        <v>3709</v>
      </c>
      <c r="C242" s="520" t="s">
        <v>213</v>
      </c>
      <c r="D242" s="538">
        <v>2.214</v>
      </c>
      <c r="E242" s="522">
        <v>1.8129999999999999</v>
      </c>
      <c r="F242" s="523">
        <v>1.5</v>
      </c>
      <c r="G242" s="524" t="s">
        <v>3663</v>
      </c>
      <c r="H242" s="525" t="s">
        <v>3699</v>
      </c>
      <c r="I242" s="474"/>
      <c r="J242" s="475" t="s">
        <v>4396</v>
      </c>
    </row>
    <row r="243" spans="1:10" ht="12.75" customHeight="1">
      <c r="A243" s="534" t="s">
        <v>3099</v>
      </c>
      <c r="B243" s="535" t="s">
        <v>3100</v>
      </c>
      <c r="C243" s="536" t="s">
        <v>213</v>
      </c>
      <c r="D243" s="472">
        <v>24.047999999999998</v>
      </c>
      <c r="E243" s="522">
        <v>19.684999999999999</v>
      </c>
      <c r="F243" s="523" t="s">
        <v>4166</v>
      </c>
      <c r="G243" s="526" t="s">
        <v>3668</v>
      </c>
      <c r="H243" s="525" t="s">
        <v>3710</v>
      </c>
      <c r="I243" s="474"/>
      <c r="J243" s="475" t="s">
        <v>4397</v>
      </c>
    </row>
    <row r="244" spans="1:10" ht="12.75" customHeight="1">
      <c r="A244" s="534" t="s">
        <v>3101</v>
      </c>
      <c r="B244" s="535" t="s">
        <v>3102</v>
      </c>
      <c r="C244" s="536" t="s">
        <v>213</v>
      </c>
      <c r="D244" s="472">
        <v>32.063000000000002</v>
      </c>
      <c r="E244" s="522">
        <v>26.247</v>
      </c>
      <c r="F244" s="523">
        <v>16</v>
      </c>
      <c r="G244" s="526" t="s">
        <v>3668</v>
      </c>
      <c r="H244" s="525" t="s">
        <v>3710</v>
      </c>
      <c r="I244" s="474"/>
      <c r="J244" s="475" t="s">
        <v>4398</v>
      </c>
    </row>
    <row r="245" spans="1:10" ht="12.75" customHeight="1">
      <c r="A245" s="534" t="s">
        <v>3103</v>
      </c>
      <c r="B245" s="535" t="s">
        <v>3104</v>
      </c>
      <c r="C245" s="520" t="s">
        <v>197</v>
      </c>
      <c r="D245" s="472">
        <v>82.542000000000002</v>
      </c>
      <c r="E245" s="522">
        <v>67.567999999999998</v>
      </c>
      <c r="F245" s="523" t="s">
        <v>4166</v>
      </c>
      <c r="G245" s="526" t="s">
        <v>3668</v>
      </c>
      <c r="H245" s="525" t="s">
        <v>3710</v>
      </c>
      <c r="I245" s="474"/>
      <c r="J245" s="475" t="s">
        <v>4399</v>
      </c>
    </row>
    <row r="246" spans="1:10" ht="12.75" customHeight="1">
      <c r="A246" s="534" t="s">
        <v>3105</v>
      </c>
      <c r="B246" s="535" t="s">
        <v>3106</v>
      </c>
      <c r="C246" s="536" t="s">
        <v>213</v>
      </c>
      <c r="D246" s="472">
        <v>49.414000000000001</v>
      </c>
      <c r="E246" s="522">
        <v>40.448999999999998</v>
      </c>
      <c r="F246" s="523">
        <v>120</v>
      </c>
      <c r="G246" s="526" t="s">
        <v>3668</v>
      </c>
      <c r="H246" s="525" t="s">
        <v>4400</v>
      </c>
      <c r="I246" s="474"/>
      <c r="J246" s="475" t="s">
        <v>4401</v>
      </c>
    </row>
    <row r="247" spans="1:10" ht="12.75" customHeight="1">
      <c r="A247" s="534" t="s">
        <v>3107</v>
      </c>
      <c r="B247" s="535" t="s">
        <v>3108</v>
      </c>
      <c r="C247" s="536" t="s">
        <v>213</v>
      </c>
      <c r="D247" s="472">
        <v>0.96899999999999997</v>
      </c>
      <c r="E247" s="522">
        <v>0.75</v>
      </c>
      <c r="F247" s="523">
        <v>2.2000000000000002</v>
      </c>
      <c r="G247" s="524" t="s">
        <v>3662</v>
      </c>
      <c r="H247" s="525" t="s">
        <v>3711</v>
      </c>
      <c r="I247" s="474"/>
      <c r="J247" s="475" t="s">
        <v>4402</v>
      </c>
    </row>
    <row r="248" spans="1:10" ht="12.75" customHeight="1">
      <c r="A248" s="534" t="s">
        <v>3712</v>
      </c>
      <c r="B248" s="535" t="s">
        <v>3713</v>
      </c>
      <c r="C248" s="536" t="s">
        <v>213</v>
      </c>
      <c r="D248" s="472">
        <v>49.414000000000001</v>
      </c>
      <c r="E248" s="522">
        <v>40.448999999999998</v>
      </c>
      <c r="F248" s="523">
        <v>120</v>
      </c>
      <c r="G248" s="526" t="s">
        <v>3668</v>
      </c>
      <c r="H248" s="525" t="s">
        <v>3710</v>
      </c>
      <c r="I248" s="474"/>
      <c r="J248" s="475" t="s">
        <v>4403</v>
      </c>
    </row>
    <row r="249" spans="1:10" ht="12.75" customHeight="1">
      <c r="A249" s="534" t="s">
        <v>3109</v>
      </c>
      <c r="B249" s="535" t="s">
        <v>3110</v>
      </c>
      <c r="C249" s="520" t="s">
        <v>197</v>
      </c>
      <c r="D249" s="540" t="s">
        <v>3714</v>
      </c>
      <c r="E249" s="522" t="e">
        <v>#VALUE!</v>
      </c>
      <c r="F249" s="523"/>
      <c r="G249" s="527" t="s">
        <v>3662</v>
      </c>
      <c r="H249" s="525" t="s">
        <v>3715</v>
      </c>
      <c r="I249" s="474"/>
      <c r="J249" s="475" t="s">
        <v>4404</v>
      </c>
    </row>
    <row r="250" spans="1:10" ht="12.75" customHeight="1">
      <c r="A250" s="534" t="s">
        <v>3111</v>
      </c>
      <c r="B250" s="535" t="s">
        <v>3112</v>
      </c>
      <c r="C250" s="520" t="s">
        <v>197</v>
      </c>
      <c r="D250" s="540" t="s">
        <v>3714</v>
      </c>
      <c r="E250" s="522" t="e">
        <v>#VALUE!</v>
      </c>
      <c r="F250" s="523"/>
      <c r="G250" s="527" t="s">
        <v>3662</v>
      </c>
      <c r="H250" s="525" t="s">
        <v>3711</v>
      </c>
      <c r="I250" s="474"/>
      <c r="J250" s="475" t="s">
        <v>4405</v>
      </c>
    </row>
    <row r="251" spans="1:10" ht="12.75" customHeight="1">
      <c r="A251" s="534" t="s">
        <v>3113</v>
      </c>
      <c r="B251" s="535" t="s">
        <v>3114</v>
      </c>
      <c r="C251" s="520" t="s">
        <v>197</v>
      </c>
      <c r="D251" s="540" t="s">
        <v>3714</v>
      </c>
      <c r="E251" s="522" t="e">
        <v>#VALUE!</v>
      </c>
      <c r="F251" s="523"/>
      <c r="G251" s="527" t="s">
        <v>3662</v>
      </c>
      <c r="H251" s="525" t="s">
        <v>3716</v>
      </c>
      <c r="I251" s="474"/>
      <c r="J251" s="475" t="s">
        <v>4406</v>
      </c>
    </row>
    <row r="252" spans="1:10" ht="12.75" customHeight="1">
      <c r="A252" s="534" t="s">
        <v>3115</v>
      </c>
      <c r="B252" s="521" t="s">
        <v>3116</v>
      </c>
      <c r="C252" s="520" t="s">
        <v>197</v>
      </c>
      <c r="D252" s="540" t="s">
        <v>3714</v>
      </c>
      <c r="E252" s="522" t="e">
        <v>#VALUE!</v>
      </c>
      <c r="F252" s="523"/>
      <c r="G252" s="527" t="s">
        <v>3662</v>
      </c>
      <c r="H252" s="525" t="s">
        <v>3716</v>
      </c>
      <c r="I252" s="474"/>
      <c r="J252" s="475" t="s">
        <v>4407</v>
      </c>
    </row>
    <row r="253" spans="1:10" ht="12.75" customHeight="1">
      <c r="A253" s="534" t="s">
        <v>3117</v>
      </c>
      <c r="B253" s="521" t="s">
        <v>3118</v>
      </c>
      <c r="C253" s="520" t="s">
        <v>197</v>
      </c>
      <c r="D253" s="540" t="s">
        <v>3714</v>
      </c>
      <c r="E253" s="522" t="e">
        <v>#VALUE!</v>
      </c>
      <c r="F253" s="523"/>
      <c r="G253" s="527" t="s">
        <v>3662</v>
      </c>
      <c r="H253" s="525" t="s">
        <v>3716</v>
      </c>
      <c r="I253" s="474"/>
      <c r="J253" s="475" t="s">
        <v>4408</v>
      </c>
    </row>
    <row r="254" spans="1:10" ht="12.75" customHeight="1">
      <c r="A254" s="534" t="s">
        <v>3119</v>
      </c>
      <c r="B254" s="521" t="s">
        <v>3120</v>
      </c>
      <c r="C254" s="520" t="s">
        <v>197</v>
      </c>
      <c r="D254" s="540" t="s">
        <v>3714</v>
      </c>
      <c r="E254" s="522" t="e">
        <v>#VALUE!</v>
      </c>
      <c r="F254" s="523"/>
      <c r="G254" s="527" t="s">
        <v>3662</v>
      </c>
      <c r="H254" s="525" t="s">
        <v>3716</v>
      </c>
      <c r="I254" s="474"/>
      <c r="J254" s="475" t="s">
        <v>4409</v>
      </c>
    </row>
    <row r="255" spans="1:10" ht="12.75" customHeight="1">
      <c r="A255" s="534" t="s">
        <v>136</v>
      </c>
      <c r="B255" s="535" t="s">
        <v>3121</v>
      </c>
      <c r="C255" s="536" t="s">
        <v>213</v>
      </c>
      <c r="D255" s="472">
        <v>2168.3000000000002</v>
      </c>
      <c r="E255" s="522">
        <v>1774.9190000000001</v>
      </c>
      <c r="F255" s="523">
        <v>1442</v>
      </c>
      <c r="G255" s="524" t="s">
        <v>3663</v>
      </c>
      <c r="H255" s="525" t="s">
        <v>3717</v>
      </c>
      <c r="I255" s="474"/>
      <c r="J255" s="475" t="s">
        <v>4410</v>
      </c>
    </row>
    <row r="256" spans="1:10" ht="12.75" customHeight="1">
      <c r="A256" s="534" t="s">
        <v>3122</v>
      </c>
      <c r="B256" s="535" t="s">
        <v>3123</v>
      </c>
      <c r="C256" s="536" t="s">
        <v>213</v>
      </c>
      <c r="D256" s="472">
        <v>1737.761</v>
      </c>
      <c r="E256" s="522">
        <v>1422.49</v>
      </c>
      <c r="F256" s="523" t="s">
        <v>4166</v>
      </c>
      <c r="G256" s="524" t="s">
        <v>3663</v>
      </c>
      <c r="H256" s="525" t="s">
        <v>3717</v>
      </c>
      <c r="I256" s="474"/>
      <c r="J256" s="475" t="s">
        <v>4411</v>
      </c>
    </row>
    <row r="257" spans="1:10" ht="12.75" customHeight="1">
      <c r="A257" s="534" t="s">
        <v>3124</v>
      </c>
      <c r="B257" s="535" t="s">
        <v>3125</v>
      </c>
      <c r="C257" s="536" t="s">
        <v>213</v>
      </c>
      <c r="D257" s="472">
        <v>301.44799999999998</v>
      </c>
      <c r="E257" s="522">
        <v>246.75800000000001</v>
      </c>
      <c r="F257" s="523" t="s">
        <v>4166</v>
      </c>
      <c r="G257" s="524" t="s">
        <v>3663</v>
      </c>
      <c r="H257" s="525" t="s">
        <v>3717</v>
      </c>
      <c r="I257" s="474"/>
      <c r="J257" s="475" t="s">
        <v>4412</v>
      </c>
    </row>
    <row r="258" spans="1:10" ht="12.75" customHeight="1">
      <c r="A258" s="534" t="s">
        <v>3126</v>
      </c>
      <c r="B258" s="535" t="s">
        <v>3127</v>
      </c>
      <c r="C258" s="536" t="s">
        <v>213</v>
      </c>
      <c r="D258" s="472">
        <v>42.557000000000002</v>
      </c>
      <c r="E258" s="522">
        <v>34.835999999999999</v>
      </c>
      <c r="F258" s="523" t="s">
        <v>4166</v>
      </c>
      <c r="G258" s="526" t="s">
        <v>3718</v>
      </c>
      <c r="H258" s="525" t="s">
        <v>3719</v>
      </c>
      <c r="I258" s="474"/>
      <c r="J258" s="475" t="s">
        <v>4413</v>
      </c>
    </row>
    <row r="259" spans="1:10" ht="12.75" customHeight="1">
      <c r="A259" s="534" t="s">
        <v>3720</v>
      </c>
      <c r="B259" s="535" t="s">
        <v>3721</v>
      </c>
      <c r="C259" s="536" t="s">
        <v>213</v>
      </c>
      <c r="D259" s="472">
        <v>531.96799999999996</v>
      </c>
      <c r="E259" s="522">
        <v>435.45600000000002</v>
      </c>
      <c r="F259" s="523" t="s">
        <v>4166</v>
      </c>
      <c r="G259" s="526" t="s">
        <v>3718</v>
      </c>
      <c r="H259" s="525" t="s">
        <v>3719</v>
      </c>
      <c r="I259" s="474"/>
      <c r="J259" s="475" t="s">
        <v>4414</v>
      </c>
    </row>
    <row r="260" spans="1:10" ht="12.75" customHeight="1">
      <c r="A260" s="534" t="s">
        <v>3722</v>
      </c>
      <c r="B260" s="535" t="s">
        <v>3723</v>
      </c>
      <c r="C260" s="536" t="s">
        <v>213</v>
      </c>
      <c r="D260" s="472">
        <v>92.846000000000004</v>
      </c>
      <c r="E260" s="522">
        <v>76.010999999999996</v>
      </c>
      <c r="F260" s="523" t="s">
        <v>4166</v>
      </c>
      <c r="G260" s="526" t="s">
        <v>3718</v>
      </c>
      <c r="H260" s="525" t="s">
        <v>3719</v>
      </c>
      <c r="I260" s="474"/>
      <c r="J260" s="475" t="s">
        <v>4415</v>
      </c>
    </row>
    <row r="261" spans="1:10" ht="12.75" customHeight="1">
      <c r="A261" s="534" t="s">
        <v>3128</v>
      </c>
      <c r="B261" s="535" t="s">
        <v>3129</v>
      </c>
      <c r="C261" s="536" t="s">
        <v>213</v>
      </c>
      <c r="D261" s="472">
        <v>86.533000000000001</v>
      </c>
      <c r="E261" s="522">
        <v>70.834000000000003</v>
      </c>
      <c r="F261" s="523" t="s">
        <v>4166</v>
      </c>
      <c r="G261" s="524" t="s">
        <v>3663</v>
      </c>
      <c r="H261" s="525" t="s">
        <v>3711</v>
      </c>
      <c r="I261" s="474"/>
      <c r="J261" s="475" t="s">
        <v>4416</v>
      </c>
    </row>
    <row r="262" spans="1:10" ht="12.75" customHeight="1">
      <c r="A262" s="534" t="s">
        <v>3130</v>
      </c>
      <c r="B262" s="535" t="s">
        <v>3131</v>
      </c>
      <c r="C262" s="536" t="s">
        <v>213</v>
      </c>
      <c r="D262" s="472">
        <v>228.39099999999999</v>
      </c>
      <c r="E262" s="522">
        <v>215.98599999999999</v>
      </c>
      <c r="F262" s="523">
        <v>113</v>
      </c>
      <c r="G262" s="524" t="s">
        <v>3663</v>
      </c>
      <c r="H262" s="525" t="s">
        <v>3711</v>
      </c>
      <c r="I262" s="474"/>
      <c r="J262" s="475" t="s">
        <v>4417</v>
      </c>
    </row>
    <row r="263" spans="1:10" ht="12.75" customHeight="1">
      <c r="A263" s="534" t="s">
        <v>3552</v>
      </c>
      <c r="B263" s="535" t="s">
        <v>3132</v>
      </c>
      <c r="C263" s="536" t="s">
        <v>213</v>
      </c>
      <c r="D263" s="472">
        <v>141.858</v>
      </c>
      <c r="E263" s="522">
        <v>116.122</v>
      </c>
      <c r="F263" s="523" t="s">
        <v>4166</v>
      </c>
      <c r="G263" s="524" t="s">
        <v>3663</v>
      </c>
      <c r="H263" s="525" t="s">
        <v>3711</v>
      </c>
      <c r="I263" s="474"/>
      <c r="J263" s="475" t="s">
        <v>4418</v>
      </c>
    </row>
    <row r="264" spans="1:10" ht="12.75" customHeight="1">
      <c r="A264" s="534" t="s">
        <v>3133</v>
      </c>
      <c r="B264" s="535" t="s">
        <v>3134</v>
      </c>
      <c r="C264" s="536" t="s">
        <v>213</v>
      </c>
      <c r="D264" s="472">
        <v>716.38300000000004</v>
      </c>
      <c r="E264" s="522">
        <v>586.41399999999999</v>
      </c>
      <c r="F264" s="523" t="s">
        <v>4166</v>
      </c>
      <c r="G264" s="524" t="s">
        <v>3663</v>
      </c>
      <c r="H264" s="525" t="s">
        <v>3717</v>
      </c>
      <c r="I264" s="474"/>
      <c r="J264" s="475" t="s">
        <v>4419</v>
      </c>
    </row>
    <row r="265" spans="1:10" ht="12.75" customHeight="1">
      <c r="A265" s="534" t="s">
        <v>3135</v>
      </c>
      <c r="B265" s="535" t="s">
        <v>3136</v>
      </c>
      <c r="C265" s="536" t="s">
        <v>213</v>
      </c>
      <c r="D265" s="472">
        <v>418.48099999999999</v>
      </c>
      <c r="E265" s="522">
        <v>342.55900000000003</v>
      </c>
      <c r="F265" s="523" t="s">
        <v>4166</v>
      </c>
      <c r="G265" s="524" t="s">
        <v>3663</v>
      </c>
      <c r="H265" s="525" t="s">
        <v>3717</v>
      </c>
      <c r="I265" s="474"/>
      <c r="J265" s="475" t="s">
        <v>4420</v>
      </c>
    </row>
    <row r="266" spans="1:10" ht="12.75" customHeight="1">
      <c r="A266" s="534" t="s">
        <v>3137</v>
      </c>
      <c r="B266" s="535" t="s">
        <v>3138</v>
      </c>
      <c r="C266" s="536" t="s">
        <v>213</v>
      </c>
      <c r="D266" s="472">
        <v>297.90199999999999</v>
      </c>
      <c r="E266" s="522">
        <v>243.85499999999999</v>
      </c>
      <c r="F266" s="523" t="s">
        <v>4166</v>
      </c>
      <c r="G266" s="524" t="s">
        <v>3663</v>
      </c>
      <c r="H266" s="525" t="s">
        <v>3717</v>
      </c>
      <c r="I266" s="474"/>
      <c r="J266" s="475" t="s">
        <v>4421</v>
      </c>
    </row>
    <row r="267" spans="1:10" ht="12.75" customHeight="1">
      <c r="A267" s="534" t="s">
        <v>3139</v>
      </c>
      <c r="B267" s="535" t="s">
        <v>3140</v>
      </c>
      <c r="C267" s="536" t="s">
        <v>213</v>
      </c>
      <c r="D267" s="472">
        <v>15.215</v>
      </c>
      <c r="E267" s="522">
        <v>12.454000000000001</v>
      </c>
      <c r="F267" s="523" t="s">
        <v>4166</v>
      </c>
      <c r="G267" s="524" t="s">
        <v>3663</v>
      </c>
      <c r="H267" s="525" t="s">
        <v>3711</v>
      </c>
      <c r="I267" s="474"/>
      <c r="J267" s="475" t="s">
        <v>4422</v>
      </c>
    </row>
    <row r="268" spans="1:10" ht="12.75" customHeight="1">
      <c r="A268" s="534" t="s">
        <v>3141</v>
      </c>
      <c r="B268" s="535" t="s">
        <v>3142</v>
      </c>
      <c r="C268" s="536" t="s">
        <v>213</v>
      </c>
      <c r="D268" s="472">
        <v>1053.296</v>
      </c>
      <c r="E268" s="522">
        <v>862.20299999999997</v>
      </c>
      <c r="F268" s="523" t="s">
        <v>4166</v>
      </c>
      <c r="G268" s="524" t="s">
        <v>3663</v>
      </c>
      <c r="H268" s="525" t="s">
        <v>3717</v>
      </c>
      <c r="I268" s="474"/>
      <c r="J268" s="475" t="s">
        <v>4423</v>
      </c>
    </row>
    <row r="269" spans="1:10" ht="12.75" customHeight="1">
      <c r="A269" s="534" t="s">
        <v>3143</v>
      </c>
      <c r="B269" s="535" t="s">
        <v>3144</v>
      </c>
      <c r="C269" s="536" t="s">
        <v>213</v>
      </c>
      <c r="D269" s="472">
        <v>638.36099999999999</v>
      </c>
      <c r="E269" s="522">
        <v>522.54700000000003</v>
      </c>
      <c r="F269" s="523" t="s">
        <v>4166</v>
      </c>
      <c r="G269" s="524" t="s">
        <v>3663</v>
      </c>
      <c r="H269" s="525" t="s">
        <v>3717</v>
      </c>
      <c r="I269" s="474"/>
      <c r="J269" s="475" t="s">
        <v>4424</v>
      </c>
    </row>
    <row r="270" spans="1:10" ht="12.75" customHeight="1">
      <c r="A270" s="534" t="s">
        <v>3145</v>
      </c>
      <c r="B270" s="535" t="s">
        <v>3146</v>
      </c>
      <c r="C270" s="536" t="s">
        <v>213</v>
      </c>
      <c r="D270" s="472">
        <v>414.935</v>
      </c>
      <c r="E270" s="522">
        <v>339.65600000000001</v>
      </c>
      <c r="F270" s="523" t="s">
        <v>4166</v>
      </c>
      <c r="G270" s="524" t="s">
        <v>3663</v>
      </c>
      <c r="H270" s="525" t="s">
        <v>3717</v>
      </c>
      <c r="I270" s="474"/>
      <c r="J270" s="475" t="s">
        <v>4425</v>
      </c>
    </row>
    <row r="271" spans="1:10" ht="12.75" customHeight="1">
      <c r="A271" s="534" t="s">
        <v>147</v>
      </c>
      <c r="B271" s="535" t="s">
        <v>3147</v>
      </c>
      <c r="C271" s="536" t="s">
        <v>213</v>
      </c>
      <c r="D271" s="472">
        <v>21.914999999999999</v>
      </c>
      <c r="E271" s="522">
        <v>17.939</v>
      </c>
      <c r="F271" s="523">
        <v>10</v>
      </c>
      <c r="G271" s="524" t="s">
        <v>3663</v>
      </c>
      <c r="H271" s="525" t="s">
        <v>3711</v>
      </c>
      <c r="I271" s="474"/>
      <c r="J271" s="475" t="s">
        <v>4426</v>
      </c>
    </row>
    <row r="272" spans="1:10" ht="12.75" customHeight="1">
      <c r="A272" s="534" t="s">
        <v>3148</v>
      </c>
      <c r="B272" s="535" t="s">
        <v>4427</v>
      </c>
      <c r="C272" s="536" t="s">
        <v>213</v>
      </c>
      <c r="D272" s="472">
        <v>94.572000000000003</v>
      </c>
      <c r="E272" s="522">
        <v>77.414000000000001</v>
      </c>
      <c r="F272" s="523" t="s">
        <v>4166</v>
      </c>
      <c r="G272" s="526" t="s">
        <v>3668</v>
      </c>
      <c r="H272" s="525" t="s">
        <v>4400</v>
      </c>
      <c r="I272" s="474"/>
      <c r="J272" s="475" t="s">
        <v>4428</v>
      </c>
    </row>
    <row r="273" spans="1:10" ht="12.75" customHeight="1">
      <c r="A273" s="534" t="s">
        <v>3149</v>
      </c>
      <c r="B273" s="535" t="s">
        <v>4429</v>
      </c>
      <c r="C273" s="536" t="s">
        <v>213</v>
      </c>
      <c r="D273" s="472">
        <v>160.77199999999999</v>
      </c>
      <c r="E273" s="522">
        <v>131.60400000000001</v>
      </c>
      <c r="F273" s="523">
        <v>291</v>
      </c>
      <c r="G273" s="526" t="s">
        <v>3668</v>
      </c>
      <c r="H273" s="525" t="s">
        <v>4400</v>
      </c>
      <c r="I273" s="474"/>
      <c r="J273" s="475" t="s">
        <v>4430</v>
      </c>
    </row>
    <row r="274" spans="1:10" ht="12.75" customHeight="1">
      <c r="A274" s="534" t="s">
        <v>4431</v>
      </c>
      <c r="B274" s="535" t="s">
        <v>4432</v>
      </c>
      <c r="C274" s="536" t="s">
        <v>213</v>
      </c>
      <c r="D274" s="472">
        <v>241.15899999999999</v>
      </c>
      <c r="E274" s="522">
        <v>197.40700000000001</v>
      </c>
      <c r="F274" s="523">
        <v>291</v>
      </c>
      <c r="G274" s="526" t="s">
        <v>3668</v>
      </c>
      <c r="H274" s="525" t="s">
        <v>4400</v>
      </c>
      <c r="I274" s="474"/>
      <c r="J274" s="475" t="s">
        <v>4430</v>
      </c>
    </row>
    <row r="275" spans="1:10" ht="12.75" customHeight="1">
      <c r="A275" s="534" t="s">
        <v>3150</v>
      </c>
      <c r="B275" s="535" t="s">
        <v>4433</v>
      </c>
      <c r="C275" s="536" t="s">
        <v>213</v>
      </c>
      <c r="D275" s="472">
        <v>111.122</v>
      </c>
      <c r="E275" s="522">
        <v>90.962000000000003</v>
      </c>
      <c r="F275" s="523">
        <v>302</v>
      </c>
      <c r="G275" s="526" t="s">
        <v>3668</v>
      </c>
      <c r="H275" s="525" t="s">
        <v>3710</v>
      </c>
      <c r="I275" s="474"/>
      <c r="J275" s="475" t="s">
        <v>4434</v>
      </c>
    </row>
    <row r="276" spans="1:10" ht="12.75" customHeight="1">
      <c r="A276" s="534" t="s">
        <v>3151</v>
      </c>
      <c r="B276" s="535" t="s">
        <v>4435</v>
      </c>
      <c r="C276" s="536" t="s">
        <v>213</v>
      </c>
      <c r="D276" s="472">
        <v>188.90799999999999</v>
      </c>
      <c r="E276" s="522">
        <v>154.63499999999999</v>
      </c>
      <c r="F276" s="523" t="s">
        <v>4166</v>
      </c>
      <c r="G276" s="526" t="s">
        <v>3668</v>
      </c>
      <c r="H276" s="525" t="s">
        <v>4400</v>
      </c>
      <c r="I276" s="474"/>
      <c r="J276" s="475" t="s">
        <v>4436</v>
      </c>
    </row>
    <row r="277" spans="1:10" ht="12.75" customHeight="1">
      <c r="A277" s="534" t="s">
        <v>3152</v>
      </c>
      <c r="B277" s="535" t="s">
        <v>3153</v>
      </c>
      <c r="C277" s="536" t="s">
        <v>213</v>
      </c>
      <c r="D277" s="472">
        <v>844.63800000000003</v>
      </c>
      <c r="E277" s="522">
        <v>691.40099999999995</v>
      </c>
      <c r="F277" s="523">
        <v>292</v>
      </c>
      <c r="G277" s="524" t="s">
        <v>3663</v>
      </c>
      <c r="H277" s="525" t="s">
        <v>3711</v>
      </c>
      <c r="I277" s="474"/>
      <c r="J277" s="475" t="s">
        <v>4437</v>
      </c>
    </row>
    <row r="278" spans="1:10" ht="12.75" customHeight="1">
      <c r="A278" s="534" t="s">
        <v>137</v>
      </c>
      <c r="B278" s="535" t="s">
        <v>3154</v>
      </c>
      <c r="C278" s="536" t="s">
        <v>213</v>
      </c>
      <c r="D278" s="472">
        <v>1250.951</v>
      </c>
      <c r="E278" s="522">
        <v>1023.999</v>
      </c>
      <c r="F278" s="523">
        <v>818.2</v>
      </c>
      <c r="G278" s="524" t="s">
        <v>3663</v>
      </c>
      <c r="H278" s="525" t="s">
        <v>3711</v>
      </c>
      <c r="I278" s="474"/>
      <c r="J278" s="475" t="s">
        <v>4438</v>
      </c>
    </row>
    <row r="279" spans="1:10" ht="12.75" customHeight="1">
      <c r="A279" s="534" t="s">
        <v>3155</v>
      </c>
      <c r="B279" s="535" t="s">
        <v>3724</v>
      </c>
      <c r="C279" s="536" t="s">
        <v>213</v>
      </c>
      <c r="D279" s="538">
        <v>3221.5949999999998</v>
      </c>
      <c r="E279" s="522">
        <v>2600.4940000000001</v>
      </c>
      <c r="F279" s="523"/>
      <c r="G279" s="524" t="s">
        <v>3663</v>
      </c>
      <c r="H279" s="525" t="s">
        <v>3711</v>
      </c>
      <c r="I279" s="474"/>
      <c r="J279" s="475" t="s">
        <v>4439</v>
      </c>
    </row>
    <row r="280" spans="1:10" ht="12.75" customHeight="1">
      <c r="A280" s="534" t="s">
        <v>3156</v>
      </c>
      <c r="B280" s="535" t="s">
        <v>3725</v>
      </c>
      <c r="C280" s="536" t="s">
        <v>213</v>
      </c>
      <c r="D280" s="538">
        <v>2113.4380000000001</v>
      </c>
      <c r="E280" s="522">
        <v>1705.982</v>
      </c>
      <c r="F280" s="523"/>
      <c r="G280" s="524" t="s">
        <v>3663</v>
      </c>
      <c r="H280" s="525" t="s">
        <v>3711</v>
      </c>
      <c r="I280" s="474"/>
      <c r="J280" s="475" t="s">
        <v>4440</v>
      </c>
    </row>
    <row r="281" spans="1:10" ht="12.75" customHeight="1">
      <c r="A281" s="534" t="s">
        <v>3157</v>
      </c>
      <c r="B281" s="535" t="s">
        <v>3726</v>
      </c>
      <c r="C281" s="536" t="s">
        <v>213</v>
      </c>
      <c r="D281" s="538">
        <v>532.79999999999995</v>
      </c>
      <c r="E281" s="522">
        <v>430.08</v>
      </c>
      <c r="F281" s="523"/>
      <c r="G281" s="524" t="s">
        <v>3663</v>
      </c>
      <c r="H281" s="525" t="s">
        <v>3711</v>
      </c>
      <c r="I281" s="474"/>
      <c r="J281" s="475" t="s">
        <v>4441</v>
      </c>
    </row>
    <row r="282" spans="1:10" ht="12.75" customHeight="1">
      <c r="A282" s="534" t="s">
        <v>3158</v>
      </c>
      <c r="B282" s="535" t="s">
        <v>3727</v>
      </c>
      <c r="C282" s="536" t="s">
        <v>213</v>
      </c>
      <c r="D282" s="538">
        <v>532.79999999999995</v>
      </c>
      <c r="E282" s="522">
        <v>430.08</v>
      </c>
      <c r="F282" s="523"/>
      <c r="G282" s="524" t="s">
        <v>3663</v>
      </c>
      <c r="H282" s="525" t="s">
        <v>3711</v>
      </c>
      <c r="I282" s="474"/>
      <c r="J282" s="475" t="s">
        <v>4442</v>
      </c>
    </row>
    <row r="283" spans="1:10" ht="12.75" customHeight="1">
      <c r="A283" s="534" t="s">
        <v>3728</v>
      </c>
      <c r="B283" s="535" t="s">
        <v>3729</v>
      </c>
      <c r="C283" s="536" t="s">
        <v>213</v>
      </c>
      <c r="D283" s="538" t="e">
        <v>#VALUE!</v>
      </c>
      <c r="E283" s="522" t="e">
        <v>#VALUE!</v>
      </c>
      <c r="F283" s="523"/>
      <c r="G283" s="524" t="s">
        <v>3663</v>
      </c>
      <c r="H283" s="525" t="s">
        <v>3711</v>
      </c>
      <c r="I283" s="474"/>
      <c r="J283" s="475" t="s">
        <v>4443</v>
      </c>
    </row>
    <row r="284" spans="1:10" ht="14.25" customHeight="1">
      <c r="A284" s="520" t="s">
        <v>586</v>
      </c>
      <c r="B284" s="521" t="s">
        <v>587</v>
      </c>
      <c r="C284" s="520" t="s">
        <v>213</v>
      </c>
      <c r="D284" s="472">
        <v>74.218999999999994</v>
      </c>
      <c r="E284" s="522">
        <v>60.753</v>
      </c>
      <c r="F284" s="523" t="s">
        <v>4166</v>
      </c>
      <c r="G284" s="524" t="s">
        <v>3663</v>
      </c>
      <c r="H284" s="525" t="s">
        <v>3666</v>
      </c>
      <c r="I284" s="474"/>
      <c r="J284" s="475" t="s">
        <v>4444</v>
      </c>
    </row>
    <row r="285" spans="1:10" ht="14.25" customHeight="1">
      <c r="A285" s="520" t="s">
        <v>588</v>
      </c>
      <c r="B285" s="521" t="s">
        <v>589</v>
      </c>
      <c r="C285" s="520" t="s">
        <v>213</v>
      </c>
      <c r="D285" s="472">
        <v>74.218999999999994</v>
      </c>
      <c r="E285" s="522">
        <v>60.753</v>
      </c>
      <c r="F285" s="523" t="s">
        <v>4166</v>
      </c>
      <c r="G285" s="524" t="s">
        <v>3663</v>
      </c>
      <c r="H285" s="525" t="s">
        <v>3666</v>
      </c>
      <c r="I285" s="474"/>
      <c r="J285" s="475" t="s">
        <v>4445</v>
      </c>
    </row>
    <row r="286" spans="1:10" ht="14.25" customHeight="1">
      <c r="A286" s="520" t="s">
        <v>590</v>
      </c>
      <c r="B286" s="521" t="s">
        <v>591</v>
      </c>
      <c r="C286" s="520" t="s">
        <v>213</v>
      </c>
      <c r="D286" s="472">
        <v>139.678</v>
      </c>
      <c r="E286" s="522">
        <v>114.336</v>
      </c>
      <c r="F286" s="523" t="s">
        <v>4166</v>
      </c>
      <c r="G286" s="524" t="s">
        <v>3663</v>
      </c>
      <c r="H286" s="525" t="s">
        <v>3666</v>
      </c>
      <c r="I286" s="474"/>
      <c r="J286" s="475" t="s">
        <v>4446</v>
      </c>
    </row>
    <row r="287" spans="1:10" ht="14.25" customHeight="1">
      <c r="A287" s="520" t="s">
        <v>592</v>
      </c>
      <c r="B287" s="521" t="s">
        <v>593</v>
      </c>
      <c r="C287" s="520" t="s">
        <v>213</v>
      </c>
      <c r="D287" s="472">
        <v>139.678</v>
      </c>
      <c r="E287" s="522">
        <v>114.336</v>
      </c>
      <c r="F287" s="523" t="s">
        <v>4166</v>
      </c>
      <c r="G287" s="524" t="s">
        <v>3663</v>
      </c>
      <c r="H287" s="525" t="s">
        <v>3666</v>
      </c>
      <c r="I287" s="474"/>
      <c r="J287" s="475" t="s">
        <v>4447</v>
      </c>
    </row>
    <row r="288" spans="1:10" ht="14.25" customHeight="1">
      <c r="A288" s="520" t="s">
        <v>594</v>
      </c>
      <c r="B288" s="521" t="s">
        <v>595</v>
      </c>
      <c r="C288" s="520" t="s">
        <v>213</v>
      </c>
      <c r="D288" s="472">
        <v>205.149</v>
      </c>
      <c r="E288" s="522">
        <v>167.929</v>
      </c>
      <c r="F288" s="523">
        <v>400</v>
      </c>
      <c r="G288" s="524" t="s">
        <v>3663</v>
      </c>
      <c r="H288" s="525" t="s">
        <v>3666</v>
      </c>
      <c r="I288" s="474"/>
      <c r="J288" s="475" t="s">
        <v>4448</v>
      </c>
    </row>
    <row r="289" spans="1:10" ht="14.25" customHeight="1">
      <c r="A289" s="520" t="s">
        <v>596</v>
      </c>
      <c r="B289" s="521" t="s">
        <v>597</v>
      </c>
      <c r="C289" s="520" t="s">
        <v>213</v>
      </c>
      <c r="D289" s="472">
        <v>205.149</v>
      </c>
      <c r="E289" s="522">
        <v>167.929</v>
      </c>
      <c r="F289" s="523" t="s">
        <v>4166</v>
      </c>
      <c r="G289" s="524" t="s">
        <v>3663</v>
      </c>
      <c r="H289" s="525" t="s">
        <v>3666</v>
      </c>
      <c r="I289" s="474"/>
      <c r="J289" s="475" t="s">
        <v>4449</v>
      </c>
    </row>
    <row r="290" spans="1:10" ht="14.25" customHeight="1">
      <c r="A290" s="520" t="s">
        <v>598</v>
      </c>
      <c r="B290" s="521" t="s">
        <v>599</v>
      </c>
      <c r="C290" s="520" t="s">
        <v>213</v>
      </c>
      <c r="D290" s="472">
        <v>270.99900000000002</v>
      </c>
      <c r="E290" s="522">
        <v>221.83199999999999</v>
      </c>
      <c r="F290" s="523">
        <v>498</v>
      </c>
      <c r="G290" s="524" t="s">
        <v>3663</v>
      </c>
      <c r="H290" s="525" t="s">
        <v>3666</v>
      </c>
      <c r="I290" s="474"/>
      <c r="J290" s="475" t="s">
        <v>4450</v>
      </c>
    </row>
    <row r="291" spans="1:10" ht="14.25" customHeight="1">
      <c r="A291" s="520" t="s">
        <v>600</v>
      </c>
      <c r="B291" s="521" t="s">
        <v>601</v>
      </c>
      <c r="C291" s="520" t="s">
        <v>213</v>
      </c>
      <c r="D291" s="472">
        <v>270.99900000000002</v>
      </c>
      <c r="E291" s="522">
        <v>221.83199999999999</v>
      </c>
      <c r="F291" s="523">
        <v>498</v>
      </c>
      <c r="G291" s="524" t="s">
        <v>3663</v>
      </c>
      <c r="H291" s="525" t="s">
        <v>3666</v>
      </c>
      <c r="I291" s="474"/>
      <c r="J291" s="475" t="s">
        <v>4451</v>
      </c>
    </row>
    <row r="292" spans="1:10" ht="14.25" customHeight="1">
      <c r="A292" s="532" t="s">
        <v>163</v>
      </c>
      <c r="B292" s="533" t="s">
        <v>602</v>
      </c>
      <c r="C292" s="532" t="s">
        <v>213</v>
      </c>
      <c r="D292" s="472">
        <v>74.218999999999994</v>
      </c>
      <c r="E292" s="522">
        <v>60.753</v>
      </c>
      <c r="F292" s="523" t="s">
        <v>4166</v>
      </c>
      <c r="G292" s="524" t="s">
        <v>3663</v>
      </c>
      <c r="H292" s="525" t="s">
        <v>3666</v>
      </c>
      <c r="I292" s="474"/>
      <c r="J292" s="475" t="s">
        <v>4452</v>
      </c>
    </row>
    <row r="293" spans="1:10" ht="14.25" customHeight="1">
      <c r="A293" s="532" t="s">
        <v>603</v>
      </c>
      <c r="B293" s="533" t="s">
        <v>604</v>
      </c>
      <c r="C293" s="532" t="s">
        <v>213</v>
      </c>
      <c r="D293" s="472">
        <v>74.218999999999994</v>
      </c>
      <c r="E293" s="522">
        <v>60.753</v>
      </c>
      <c r="F293" s="523" t="s">
        <v>4166</v>
      </c>
      <c r="G293" s="524" t="s">
        <v>3663</v>
      </c>
      <c r="H293" s="525" t="s">
        <v>3666</v>
      </c>
      <c r="I293" s="474"/>
      <c r="J293" s="475" t="s">
        <v>4453</v>
      </c>
    </row>
    <row r="294" spans="1:10" ht="14.25" customHeight="1">
      <c r="A294" s="532" t="s">
        <v>162</v>
      </c>
      <c r="B294" s="533" t="s">
        <v>605</v>
      </c>
      <c r="C294" s="532" t="s">
        <v>213</v>
      </c>
      <c r="D294" s="472">
        <v>139.678</v>
      </c>
      <c r="E294" s="522">
        <v>114.336</v>
      </c>
      <c r="F294" s="523" t="s">
        <v>4166</v>
      </c>
      <c r="G294" s="524" t="s">
        <v>3663</v>
      </c>
      <c r="H294" s="525" t="s">
        <v>3666</v>
      </c>
      <c r="I294" s="474"/>
      <c r="J294" s="475" t="s">
        <v>4454</v>
      </c>
    </row>
    <row r="295" spans="1:10" ht="14.25" customHeight="1">
      <c r="A295" s="532" t="s">
        <v>606</v>
      </c>
      <c r="B295" s="533" t="s">
        <v>607</v>
      </c>
      <c r="C295" s="532" t="s">
        <v>213</v>
      </c>
      <c r="D295" s="472">
        <v>139.678</v>
      </c>
      <c r="E295" s="522">
        <v>114.336</v>
      </c>
      <c r="F295" s="523" t="s">
        <v>4166</v>
      </c>
      <c r="G295" s="524" t="s">
        <v>3663</v>
      </c>
      <c r="H295" s="525" t="s">
        <v>3666</v>
      </c>
      <c r="I295" s="474"/>
      <c r="J295" s="475" t="s">
        <v>4455</v>
      </c>
    </row>
    <row r="296" spans="1:10" ht="14.25" customHeight="1">
      <c r="A296" s="532" t="s">
        <v>161</v>
      </c>
      <c r="B296" s="533" t="s">
        <v>608</v>
      </c>
      <c r="C296" s="532" t="s">
        <v>213</v>
      </c>
      <c r="D296" s="472">
        <v>205.149</v>
      </c>
      <c r="E296" s="522">
        <v>167.929</v>
      </c>
      <c r="F296" s="523">
        <v>400</v>
      </c>
      <c r="G296" s="524" t="s">
        <v>3663</v>
      </c>
      <c r="H296" s="525" t="s">
        <v>3666</v>
      </c>
      <c r="I296" s="474"/>
      <c r="J296" s="475" t="s">
        <v>4456</v>
      </c>
    </row>
    <row r="297" spans="1:10" ht="14.25" customHeight="1">
      <c r="A297" s="532" t="s">
        <v>609</v>
      </c>
      <c r="B297" s="533" t="s">
        <v>610</v>
      </c>
      <c r="C297" s="532" t="s">
        <v>213</v>
      </c>
      <c r="D297" s="472">
        <v>205.149</v>
      </c>
      <c r="E297" s="522">
        <v>167.929</v>
      </c>
      <c r="F297" s="523" t="s">
        <v>4166</v>
      </c>
      <c r="G297" s="524" t="s">
        <v>3663</v>
      </c>
      <c r="H297" s="525" t="s">
        <v>3666</v>
      </c>
      <c r="I297" s="474"/>
      <c r="J297" s="475" t="s">
        <v>4457</v>
      </c>
    </row>
    <row r="298" spans="1:10" ht="14.25" customHeight="1">
      <c r="A298" s="532" t="s">
        <v>160</v>
      </c>
      <c r="B298" s="533" t="s">
        <v>611</v>
      </c>
      <c r="C298" s="532" t="s">
        <v>213</v>
      </c>
      <c r="D298" s="472">
        <v>270.99900000000002</v>
      </c>
      <c r="E298" s="522">
        <v>221.83199999999999</v>
      </c>
      <c r="F298" s="523">
        <v>498</v>
      </c>
      <c r="G298" s="524" t="s">
        <v>3663</v>
      </c>
      <c r="H298" s="525" t="s">
        <v>3666</v>
      </c>
      <c r="I298" s="474"/>
      <c r="J298" s="475" t="s">
        <v>4458</v>
      </c>
    </row>
    <row r="299" spans="1:10" ht="14.25" customHeight="1">
      <c r="A299" s="532" t="s">
        <v>612</v>
      </c>
      <c r="B299" s="533" t="s">
        <v>613</v>
      </c>
      <c r="C299" s="532" t="s">
        <v>213</v>
      </c>
      <c r="D299" s="472">
        <v>270.99900000000002</v>
      </c>
      <c r="E299" s="522">
        <v>221.83199999999999</v>
      </c>
      <c r="F299" s="523">
        <v>498</v>
      </c>
      <c r="G299" s="524" t="s">
        <v>3663</v>
      </c>
      <c r="H299" s="525" t="s">
        <v>3666</v>
      </c>
      <c r="I299" s="474"/>
      <c r="J299" s="475" t="s">
        <v>4459</v>
      </c>
    </row>
    <row r="300" spans="1:10" ht="14.25" customHeight="1">
      <c r="A300" s="520" t="s">
        <v>614</v>
      </c>
      <c r="B300" s="521" t="s">
        <v>3730</v>
      </c>
      <c r="C300" s="520" t="s">
        <v>213</v>
      </c>
      <c r="D300" s="472">
        <v>1.0529999999999999</v>
      </c>
      <c r="E300" s="522">
        <v>0.98599999999999999</v>
      </c>
      <c r="F300" s="523">
        <v>2.2999999999999998</v>
      </c>
      <c r="G300" s="524" t="s">
        <v>3663</v>
      </c>
      <c r="H300" s="525" t="s">
        <v>3666</v>
      </c>
      <c r="I300" s="474"/>
      <c r="J300" s="475" t="s">
        <v>4460</v>
      </c>
    </row>
    <row r="301" spans="1:10" ht="14.25" customHeight="1">
      <c r="A301" s="520" t="s">
        <v>615</v>
      </c>
      <c r="B301" s="521" t="s">
        <v>616</v>
      </c>
      <c r="C301" s="520" t="s">
        <v>213</v>
      </c>
      <c r="D301" s="472">
        <v>0.84199999999999997</v>
      </c>
      <c r="E301" s="522">
        <v>0.78500000000000003</v>
      </c>
      <c r="F301" s="523">
        <v>2.2999999999999998</v>
      </c>
      <c r="G301" s="524" t="s">
        <v>3663</v>
      </c>
      <c r="H301" s="525" t="s">
        <v>3666</v>
      </c>
      <c r="I301" s="474"/>
      <c r="J301" s="475" t="s">
        <v>4461</v>
      </c>
    </row>
    <row r="302" spans="1:10" ht="14.25" customHeight="1">
      <c r="A302" s="520" t="s">
        <v>617</v>
      </c>
      <c r="B302" s="521" t="s">
        <v>618</v>
      </c>
      <c r="C302" s="520" t="s">
        <v>213</v>
      </c>
      <c r="D302" s="472">
        <v>2.4380000000000002</v>
      </c>
      <c r="E302" s="522">
        <v>2.7749999999999999</v>
      </c>
      <c r="F302" s="523">
        <v>2.2999999999999998</v>
      </c>
      <c r="G302" s="524" t="s">
        <v>3663</v>
      </c>
      <c r="H302" s="525" t="s">
        <v>3666</v>
      </c>
      <c r="I302" s="474"/>
      <c r="J302" s="475" t="s">
        <v>4462</v>
      </c>
    </row>
    <row r="303" spans="1:10" ht="14.25" customHeight="1">
      <c r="A303" s="520" t="s">
        <v>3731</v>
      </c>
      <c r="B303" s="521" t="s">
        <v>3732</v>
      </c>
      <c r="C303" s="520" t="s">
        <v>213</v>
      </c>
      <c r="D303" s="472">
        <v>6.8319999999999999</v>
      </c>
      <c r="E303" s="522">
        <v>5.5919999999999996</v>
      </c>
      <c r="F303" s="523">
        <v>2.2999999999999998</v>
      </c>
      <c r="G303" s="524" t="s">
        <v>3663</v>
      </c>
      <c r="H303" s="525" t="s">
        <v>3666</v>
      </c>
      <c r="I303" s="474"/>
      <c r="J303" s="475" t="s">
        <v>4463</v>
      </c>
    </row>
    <row r="304" spans="1:10" ht="14.25" customHeight="1">
      <c r="A304" s="520" t="s">
        <v>3733</v>
      </c>
      <c r="B304" s="521" t="s">
        <v>3734</v>
      </c>
      <c r="C304" s="520" t="s">
        <v>213</v>
      </c>
      <c r="D304" s="472">
        <v>5.4180000000000001</v>
      </c>
      <c r="E304" s="522">
        <v>5.0469999999999997</v>
      </c>
      <c r="F304" s="523">
        <v>2.2999999999999998</v>
      </c>
      <c r="G304" s="524" t="s">
        <v>3663</v>
      </c>
      <c r="H304" s="525" t="s">
        <v>3666</v>
      </c>
      <c r="I304" s="474"/>
      <c r="J304" s="475" t="s">
        <v>4464</v>
      </c>
    </row>
    <row r="305" spans="1:10" ht="14.25" customHeight="1">
      <c r="A305" s="520" t="s">
        <v>3735</v>
      </c>
      <c r="B305" s="521" t="s">
        <v>3736</v>
      </c>
      <c r="C305" s="520" t="s">
        <v>213</v>
      </c>
      <c r="D305" s="472">
        <v>8.9740000000000002</v>
      </c>
      <c r="E305" s="522">
        <v>7.3470000000000004</v>
      </c>
      <c r="F305" s="523">
        <v>2.2999999999999998</v>
      </c>
      <c r="G305" s="524" t="s">
        <v>3663</v>
      </c>
      <c r="H305" s="525" t="s">
        <v>3666</v>
      </c>
      <c r="I305" s="474"/>
      <c r="J305" s="475" t="s">
        <v>4465</v>
      </c>
    </row>
    <row r="306" spans="1:10" ht="14.25" customHeight="1">
      <c r="A306" s="520" t="s">
        <v>3737</v>
      </c>
      <c r="B306" s="521" t="s">
        <v>3738</v>
      </c>
      <c r="C306" s="520" t="s">
        <v>213</v>
      </c>
      <c r="D306" s="472">
        <v>6.8319999999999999</v>
      </c>
      <c r="E306" s="522">
        <v>5.5919999999999996</v>
      </c>
      <c r="F306" s="523">
        <v>2.2999999999999998</v>
      </c>
      <c r="G306" s="524" t="s">
        <v>3663</v>
      </c>
      <c r="H306" s="525" t="s">
        <v>3666</v>
      </c>
      <c r="I306" s="474"/>
      <c r="J306" s="475" t="s">
        <v>4466</v>
      </c>
    </row>
    <row r="307" spans="1:10" ht="14.25" customHeight="1">
      <c r="A307" s="520" t="s">
        <v>3739</v>
      </c>
      <c r="B307" s="521" t="s">
        <v>3740</v>
      </c>
      <c r="C307" s="520" t="s">
        <v>213</v>
      </c>
      <c r="D307" s="472">
        <v>5.4180000000000001</v>
      </c>
      <c r="E307" s="522">
        <v>5.0469999999999997</v>
      </c>
      <c r="F307" s="523">
        <v>2.2999999999999998</v>
      </c>
      <c r="G307" s="524" t="s">
        <v>3663</v>
      </c>
      <c r="H307" s="525" t="s">
        <v>3666</v>
      </c>
      <c r="I307" s="474"/>
      <c r="J307" s="475" t="s">
        <v>4467</v>
      </c>
    </row>
    <row r="308" spans="1:10" ht="14.25" customHeight="1">
      <c r="A308" s="520" t="s">
        <v>3741</v>
      </c>
      <c r="B308" s="521" t="s">
        <v>3742</v>
      </c>
      <c r="C308" s="520" t="s">
        <v>213</v>
      </c>
      <c r="D308" s="472">
        <v>8.9740000000000002</v>
      </c>
      <c r="E308" s="522">
        <v>7.3470000000000004</v>
      </c>
      <c r="F308" s="523">
        <v>2.2999999999999998</v>
      </c>
      <c r="G308" s="524" t="s">
        <v>3663</v>
      </c>
      <c r="H308" s="525" t="s">
        <v>3666</v>
      </c>
      <c r="I308" s="474"/>
      <c r="J308" s="475" t="s">
        <v>4468</v>
      </c>
    </row>
    <row r="309" spans="1:10" ht="14.25" customHeight="1">
      <c r="A309" s="520" t="s">
        <v>3743</v>
      </c>
      <c r="B309" s="521" t="s">
        <v>3744</v>
      </c>
      <c r="C309" s="520" t="s">
        <v>213</v>
      </c>
      <c r="D309" s="472">
        <v>6.8319999999999999</v>
      </c>
      <c r="E309" s="522">
        <v>5.5919999999999996</v>
      </c>
      <c r="F309" s="523">
        <v>2.2999999999999998</v>
      </c>
      <c r="G309" s="524" t="s">
        <v>3663</v>
      </c>
      <c r="H309" s="525" t="s">
        <v>3666</v>
      </c>
      <c r="I309" s="474"/>
      <c r="J309" s="475" t="s">
        <v>4469</v>
      </c>
    </row>
    <row r="310" spans="1:10" ht="14.25" customHeight="1">
      <c r="A310" s="520" t="s">
        <v>3745</v>
      </c>
      <c r="B310" s="521" t="s">
        <v>3746</v>
      </c>
      <c r="C310" s="520" t="s">
        <v>213</v>
      </c>
      <c r="D310" s="472">
        <v>5.4180000000000001</v>
      </c>
      <c r="E310" s="522">
        <v>5.0469999999999997</v>
      </c>
      <c r="F310" s="523">
        <v>2.2999999999999998</v>
      </c>
      <c r="G310" s="524" t="s">
        <v>3663</v>
      </c>
      <c r="H310" s="525" t="s">
        <v>3666</v>
      </c>
      <c r="I310" s="474"/>
      <c r="J310" s="475" t="s">
        <v>4470</v>
      </c>
    </row>
    <row r="311" spans="1:10" ht="14.25" customHeight="1">
      <c r="A311" s="520" t="s">
        <v>3747</v>
      </c>
      <c r="B311" s="521" t="s">
        <v>3748</v>
      </c>
      <c r="C311" s="520" t="s">
        <v>213</v>
      </c>
      <c r="D311" s="472">
        <v>8.9740000000000002</v>
      </c>
      <c r="E311" s="522">
        <v>7.3470000000000004</v>
      </c>
      <c r="F311" s="523">
        <v>2.2999999999999998</v>
      </c>
      <c r="G311" s="524" t="s">
        <v>3663</v>
      </c>
      <c r="H311" s="525" t="s">
        <v>3666</v>
      </c>
      <c r="I311" s="474"/>
      <c r="J311" s="475" t="s">
        <v>4471</v>
      </c>
    </row>
    <row r="312" spans="1:10" ht="14.25" customHeight="1">
      <c r="A312" s="520" t="s">
        <v>619</v>
      </c>
      <c r="B312" s="521" t="s">
        <v>620</v>
      </c>
      <c r="C312" s="520" t="s">
        <v>213</v>
      </c>
      <c r="D312" s="472">
        <v>6.8319999999999999</v>
      </c>
      <c r="E312" s="522">
        <v>5.5919999999999996</v>
      </c>
      <c r="F312" s="523">
        <v>2.2999999999999998</v>
      </c>
      <c r="G312" s="524" t="s">
        <v>3663</v>
      </c>
      <c r="H312" s="525" t="s">
        <v>3666</v>
      </c>
      <c r="I312" s="474"/>
      <c r="J312" s="475" t="s">
        <v>4472</v>
      </c>
    </row>
    <row r="313" spans="1:10" ht="14.25" customHeight="1">
      <c r="A313" s="520" t="s">
        <v>621</v>
      </c>
      <c r="B313" s="521" t="s">
        <v>622</v>
      </c>
      <c r="C313" s="520" t="s">
        <v>213</v>
      </c>
      <c r="D313" s="472">
        <v>5.4180000000000001</v>
      </c>
      <c r="E313" s="522">
        <v>5.0469999999999997</v>
      </c>
      <c r="F313" s="523">
        <v>2.2999999999999998</v>
      </c>
      <c r="G313" s="524" t="s">
        <v>3663</v>
      </c>
      <c r="H313" s="525" t="s">
        <v>3666</v>
      </c>
      <c r="I313" s="474"/>
      <c r="J313" s="475" t="s">
        <v>4473</v>
      </c>
    </row>
    <row r="314" spans="1:10" ht="14.25" customHeight="1">
      <c r="A314" s="520" t="s">
        <v>623</v>
      </c>
      <c r="B314" s="521" t="s">
        <v>624</v>
      </c>
      <c r="C314" s="520" t="s">
        <v>213</v>
      </c>
      <c r="D314" s="472">
        <v>8.9740000000000002</v>
      </c>
      <c r="E314" s="522">
        <v>7.3470000000000004</v>
      </c>
      <c r="F314" s="523">
        <v>2.2999999999999998</v>
      </c>
      <c r="G314" s="524" t="s">
        <v>3663</v>
      </c>
      <c r="H314" s="525" t="s">
        <v>3666</v>
      </c>
      <c r="I314" s="474"/>
      <c r="J314" s="475" t="s">
        <v>4474</v>
      </c>
    </row>
    <row r="315" spans="1:10" ht="14.25" customHeight="1">
      <c r="A315" s="520" t="s">
        <v>3749</v>
      </c>
      <c r="B315" s="521" t="s">
        <v>3750</v>
      </c>
      <c r="C315" s="520" t="s">
        <v>213</v>
      </c>
      <c r="D315" s="472">
        <v>6.8319999999999999</v>
      </c>
      <c r="E315" s="522">
        <v>5.5919999999999996</v>
      </c>
      <c r="F315" s="523">
        <v>2.2999999999999998</v>
      </c>
      <c r="G315" s="524" t="s">
        <v>3663</v>
      </c>
      <c r="H315" s="525" t="s">
        <v>3666</v>
      </c>
      <c r="I315" s="474"/>
      <c r="J315" s="475" t="s">
        <v>4475</v>
      </c>
    </row>
    <row r="316" spans="1:10" ht="14.25" customHeight="1">
      <c r="A316" s="520" t="s">
        <v>3751</v>
      </c>
      <c r="B316" s="521" t="s">
        <v>3752</v>
      </c>
      <c r="C316" s="520" t="s">
        <v>213</v>
      </c>
      <c r="D316" s="472">
        <v>5.4180000000000001</v>
      </c>
      <c r="E316" s="522">
        <v>5.0469999999999997</v>
      </c>
      <c r="F316" s="523">
        <v>2.2999999999999998</v>
      </c>
      <c r="G316" s="524" t="s">
        <v>3663</v>
      </c>
      <c r="H316" s="525" t="s">
        <v>3666</v>
      </c>
      <c r="I316" s="474"/>
      <c r="J316" s="475" t="s">
        <v>4476</v>
      </c>
    </row>
    <row r="317" spans="1:10" ht="14.25" customHeight="1">
      <c r="A317" s="520" t="s">
        <v>3753</v>
      </c>
      <c r="B317" s="521" t="s">
        <v>3754</v>
      </c>
      <c r="C317" s="520" t="s">
        <v>213</v>
      </c>
      <c r="D317" s="472">
        <v>8.9740000000000002</v>
      </c>
      <c r="E317" s="522">
        <v>7.3470000000000004</v>
      </c>
      <c r="F317" s="523">
        <v>2.2999999999999998</v>
      </c>
      <c r="G317" s="524" t="s">
        <v>3663</v>
      </c>
      <c r="H317" s="525" t="s">
        <v>3666</v>
      </c>
      <c r="I317" s="474"/>
      <c r="J317" s="475" t="s">
        <v>4477</v>
      </c>
    </row>
    <row r="318" spans="1:10" ht="14.25" customHeight="1">
      <c r="A318" s="520" t="s">
        <v>625</v>
      </c>
      <c r="B318" s="521" t="s">
        <v>626</v>
      </c>
      <c r="C318" s="520" t="s">
        <v>213</v>
      </c>
      <c r="D318" s="472">
        <v>6.8319999999999999</v>
      </c>
      <c r="E318" s="522">
        <v>5.5919999999999996</v>
      </c>
      <c r="F318" s="523">
        <v>2.2999999999999998</v>
      </c>
      <c r="G318" s="524" t="s">
        <v>3663</v>
      </c>
      <c r="H318" s="525" t="s">
        <v>3666</v>
      </c>
      <c r="I318" s="474"/>
      <c r="J318" s="475" t="s">
        <v>4478</v>
      </c>
    </row>
    <row r="319" spans="1:10" ht="14.25" customHeight="1">
      <c r="A319" s="520" t="s">
        <v>627</v>
      </c>
      <c r="B319" s="521" t="s">
        <v>628</v>
      </c>
      <c r="C319" s="520" t="s">
        <v>213</v>
      </c>
      <c r="D319" s="472">
        <v>5.4180000000000001</v>
      </c>
      <c r="E319" s="522">
        <v>5.0469999999999997</v>
      </c>
      <c r="F319" s="523">
        <v>2.2999999999999998</v>
      </c>
      <c r="G319" s="524" t="s">
        <v>3663</v>
      </c>
      <c r="H319" s="525" t="s">
        <v>3666</v>
      </c>
      <c r="I319" s="474"/>
      <c r="J319" s="475" t="s">
        <v>4479</v>
      </c>
    </row>
    <row r="320" spans="1:10" ht="14.25" customHeight="1">
      <c r="A320" s="520" t="s">
        <v>629</v>
      </c>
      <c r="B320" s="521" t="s">
        <v>630</v>
      </c>
      <c r="C320" s="520" t="s">
        <v>213</v>
      </c>
      <c r="D320" s="472">
        <v>8.9740000000000002</v>
      </c>
      <c r="E320" s="522">
        <v>7.3470000000000004</v>
      </c>
      <c r="F320" s="523">
        <v>2.2999999999999998</v>
      </c>
      <c r="G320" s="524" t="s">
        <v>3663</v>
      </c>
      <c r="H320" s="525" t="s">
        <v>3666</v>
      </c>
      <c r="I320" s="474"/>
      <c r="J320" s="475" t="s">
        <v>4480</v>
      </c>
    </row>
    <row r="321" spans="1:10" ht="14.25" customHeight="1">
      <c r="A321" s="520" t="s">
        <v>631</v>
      </c>
      <c r="B321" s="521" t="s">
        <v>632</v>
      </c>
      <c r="C321" s="520" t="s">
        <v>213</v>
      </c>
      <c r="D321" s="472">
        <v>6.8319999999999999</v>
      </c>
      <c r="E321" s="522">
        <v>5.5919999999999996</v>
      </c>
      <c r="F321" s="523">
        <v>2.2999999999999998</v>
      </c>
      <c r="G321" s="524" t="s">
        <v>3663</v>
      </c>
      <c r="H321" s="525" t="s">
        <v>3666</v>
      </c>
      <c r="I321" s="474"/>
      <c r="J321" s="475" t="s">
        <v>4481</v>
      </c>
    </row>
    <row r="322" spans="1:10" ht="14.25" customHeight="1">
      <c r="A322" s="520" t="s">
        <v>633</v>
      </c>
      <c r="B322" s="521" t="s">
        <v>634</v>
      </c>
      <c r="C322" s="520" t="s">
        <v>213</v>
      </c>
      <c r="D322" s="472">
        <v>5.4180000000000001</v>
      </c>
      <c r="E322" s="522">
        <v>5.0469999999999997</v>
      </c>
      <c r="F322" s="523">
        <v>2.2999999999999998</v>
      </c>
      <c r="G322" s="524" t="s">
        <v>3663</v>
      </c>
      <c r="H322" s="525" t="s">
        <v>3666</v>
      </c>
      <c r="I322" s="474"/>
      <c r="J322" s="475" t="s">
        <v>4482</v>
      </c>
    </row>
    <row r="323" spans="1:10" ht="14.25" customHeight="1">
      <c r="A323" s="520" t="s">
        <v>635</v>
      </c>
      <c r="B323" s="521" t="s">
        <v>636</v>
      </c>
      <c r="C323" s="520" t="s">
        <v>213</v>
      </c>
      <c r="D323" s="472">
        <v>8.9740000000000002</v>
      </c>
      <c r="E323" s="522">
        <v>7.3470000000000004</v>
      </c>
      <c r="F323" s="523">
        <v>2.2999999999999998</v>
      </c>
      <c r="G323" s="524" t="s">
        <v>3663</v>
      </c>
      <c r="H323" s="525" t="s">
        <v>3666</v>
      </c>
      <c r="I323" s="474"/>
      <c r="J323" s="475" t="s">
        <v>4483</v>
      </c>
    </row>
    <row r="324" spans="1:10" ht="14.25" customHeight="1">
      <c r="A324" s="520" t="s">
        <v>637</v>
      </c>
      <c r="B324" s="521" t="s">
        <v>638</v>
      </c>
      <c r="C324" s="520" t="s">
        <v>213</v>
      </c>
      <c r="D324" s="472">
        <v>6.8319999999999999</v>
      </c>
      <c r="E324" s="522">
        <v>5.5919999999999996</v>
      </c>
      <c r="F324" s="523">
        <v>2.2999999999999998</v>
      </c>
      <c r="G324" s="524" t="s">
        <v>3663</v>
      </c>
      <c r="H324" s="525" t="s">
        <v>3666</v>
      </c>
      <c r="I324" s="474"/>
      <c r="J324" s="475" t="s">
        <v>4484</v>
      </c>
    </row>
    <row r="325" spans="1:10" ht="14.25" customHeight="1">
      <c r="A325" s="520" t="s">
        <v>639</v>
      </c>
      <c r="B325" s="521" t="s">
        <v>640</v>
      </c>
      <c r="C325" s="520" t="s">
        <v>213</v>
      </c>
      <c r="D325" s="472">
        <v>5.4180000000000001</v>
      </c>
      <c r="E325" s="522">
        <v>5.0469999999999997</v>
      </c>
      <c r="F325" s="523">
        <v>2.2999999999999998</v>
      </c>
      <c r="G325" s="524" t="s">
        <v>3663</v>
      </c>
      <c r="H325" s="525" t="s">
        <v>3666</v>
      </c>
      <c r="I325" s="474"/>
      <c r="J325" s="475" t="s">
        <v>4485</v>
      </c>
    </row>
    <row r="326" spans="1:10" ht="14.25" customHeight="1">
      <c r="A326" s="520" t="s">
        <v>641</v>
      </c>
      <c r="B326" s="521" t="s">
        <v>642</v>
      </c>
      <c r="C326" s="520" t="s">
        <v>213</v>
      </c>
      <c r="D326" s="472">
        <v>8.9740000000000002</v>
      </c>
      <c r="E326" s="522">
        <v>7.3470000000000004</v>
      </c>
      <c r="F326" s="523">
        <v>2.2999999999999998</v>
      </c>
      <c r="G326" s="524" t="s">
        <v>3663</v>
      </c>
      <c r="H326" s="525" t="s">
        <v>3666</v>
      </c>
      <c r="I326" s="474"/>
      <c r="J326" s="475" t="s">
        <v>4486</v>
      </c>
    </row>
    <row r="327" spans="1:10" ht="14.25" customHeight="1">
      <c r="A327" s="520" t="s">
        <v>643</v>
      </c>
      <c r="B327" s="521" t="s">
        <v>644</v>
      </c>
      <c r="C327" s="520" t="s">
        <v>213</v>
      </c>
      <c r="D327" s="472">
        <v>6.8319999999999999</v>
      </c>
      <c r="E327" s="522">
        <v>5.5919999999999996</v>
      </c>
      <c r="F327" s="523">
        <v>2.2999999999999998</v>
      </c>
      <c r="G327" s="524" t="s">
        <v>3663</v>
      </c>
      <c r="H327" s="525" t="s">
        <v>3666</v>
      </c>
      <c r="I327" s="474"/>
      <c r="J327" s="475" t="s">
        <v>4487</v>
      </c>
    </row>
    <row r="328" spans="1:10" ht="14.25" customHeight="1">
      <c r="A328" s="520" t="s">
        <v>645</v>
      </c>
      <c r="B328" s="521" t="s">
        <v>646</v>
      </c>
      <c r="C328" s="520" t="s">
        <v>213</v>
      </c>
      <c r="D328" s="472">
        <v>5.4180000000000001</v>
      </c>
      <c r="E328" s="522">
        <v>5.0469999999999997</v>
      </c>
      <c r="F328" s="523">
        <v>2.2999999999999998</v>
      </c>
      <c r="G328" s="524" t="s">
        <v>3663</v>
      </c>
      <c r="H328" s="525" t="s">
        <v>3666</v>
      </c>
      <c r="I328" s="474"/>
      <c r="J328" s="475" t="s">
        <v>4488</v>
      </c>
    </row>
    <row r="329" spans="1:10" ht="14.25" customHeight="1">
      <c r="A329" s="520" t="s">
        <v>647</v>
      </c>
      <c r="B329" s="521" t="s">
        <v>648</v>
      </c>
      <c r="C329" s="520" t="s">
        <v>213</v>
      </c>
      <c r="D329" s="472">
        <v>8.9740000000000002</v>
      </c>
      <c r="E329" s="522">
        <v>7.3470000000000004</v>
      </c>
      <c r="F329" s="523">
        <v>2.2999999999999998</v>
      </c>
      <c r="G329" s="524" t="s">
        <v>3663</v>
      </c>
      <c r="H329" s="525" t="s">
        <v>3666</v>
      </c>
      <c r="I329" s="474"/>
      <c r="J329" s="475" t="s">
        <v>4489</v>
      </c>
    </row>
    <row r="330" spans="1:10" ht="14.25" customHeight="1">
      <c r="A330" s="520" t="s">
        <v>649</v>
      </c>
      <c r="B330" s="521" t="s">
        <v>650</v>
      </c>
      <c r="C330" s="520" t="s">
        <v>213</v>
      </c>
      <c r="D330" s="472">
        <v>6.8319999999999999</v>
      </c>
      <c r="E330" s="522">
        <v>5.5919999999999996</v>
      </c>
      <c r="F330" s="523">
        <v>2.2999999999999998</v>
      </c>
      <c r="G330" s="524" t="s">
        <v>3663</v>
      </c>
      <c r="H330" s="525" t="s">
        <v>3666</v>
      </c>
      <c r="I330" s="474"/>
      <c r="J330" s="475" t="s">
        <v>4490</v>
      </c>
    </row>
    <row r="331" spans="1:10" ht="14.25" customHeight="1">
      <c r="A331" s="520" t="s">
        <v>651</v>
      </c>
      <c r="B331" s="521" t="s">
        <v>652</v>
      </c>
      <c r="C331" s="520" t="s">
        <v>213</v>
      </c>
      <c r="D331" s="472">
        <v>5.4180000000000001</v>
      </c>
      <c r="E331" s="522">
        <v>5.0469999999999997</v>
      </c>
      <c r="F331" s="523">
        <v>2.2999999999999998</v>
      </c>
      <c r="G331" s="524" t="s">
        <v>3663</v>
      </c>
      <c r="H331" s="525" t="s">
        <v>3666</v>
      </c>
      <c r="I331" s="474"/>
      <c r="J331" s="475" t="s">
        <v>4491</v>
      </c>
    </row>
    <row r="332" spans="1:10" ht="14.25" customHeight="1">
      <c r="A332" s="520" t="s">
        <v>653</v>
      </c>
      <c r="B332" s="521" t="s">
        <v>654</v>
      </c>
      <c r="C332" s="520" t="s">
        <v>213</v>
      </c>
      <c r="D332" s="472">
        <v>8.9740000000000002</v>
      </c>
      <c r="E332" s="522">
        <v>7.3470000000000004</v>
      </c>
      <c r="F332" s="523">
        <v>2.2999999999999998</v>
      </c>
      <c r="G332" s="524" t="s">
        <v>3663</v>
      </c>
      <c r="H332" s="525" t="s">
        <v>3666</v>
      </c>
      <c r="I332" s="474"/>
      <c r="J332" s="475" t="s">
        <v>4492</v>
      </c>
    </row>
    <row r="333" spans="1:10" ht="14.25" customHeight="1">
      <c r="A333" s="520" t="s">
        <v>3755</v>
      </c>
      <c r="B333" s="521" t="s">
        <v>3756</v>
      </c>
      <c r="C333" s="520" t="s">
        <v>213</v>
      </c>
      <c r="D333" s="472">
        <v>6.8319999999999999</v>
      </c>
      <c r="E333" s="522">
        <v>5.5919999999999996</v>
      </c>
      <c r="F333" s="523">
        <v>2.2999999999999998</v>
      </c>
      <c r="G333" s="524" t="s">
        <v>3663</v>
      </c>
      <c r="H333" s="525" t="s">
        <v>3666</v>
      </c>
      <c r="I333" s="474"/>
      <c r="J333" s="475" t="s">
        <v>4493</v>
      </c>
    </row>
    <row r="334" spans="1:10" ht="14.25" customHeight="1">
      <c r="A334" s="520" t="s">
        <v>3757</v>
      </c>
      <c r="B334" s="521" t="s">
        <v>3758</v>
      </c>
      <c r="C334" s="520" t="s">
        <v>213</v>
      </c>
      <c r="D334" s="472">
        <v>5.4180000000000001</v>
      </c>
      <c r="E334" s="522">
        <v>5.0469999999999997</v>
      </c>
      <c r="F334" s="523">
        <v>2.2999999999999998</v>
      </c>
      <c r="G334" s="524" t="s">
        <v>3663</v>
      </c>
      <c r="H334" s="525" t="s">
        <v>3666</v>
      </c>
      <c r="I334" s="474"/>
      <c r="J334" s="475" t="s">
        <v>4494</v>
      </c>
    </row>
    <row r="335" spans="1:10" ht="14.25" customHeight="1">
      <c r="A335" s="520" t="s">
        <v>3759</v>
      </c>
      <c r="B335" s="521" t="s">
        <v>3760</v>
      </c>
      <c r="C335" s="520" t="s">
        <v>213</v>
      </c>
      <c r="D335" s="472">
        <v>8.9740000000000002</v>
      </c>
      <c r="E335" s="522">
        <v>7.3470000000000004</v>
      </c>
      <c r="F335" s="523">
        <v>2.2999999999999998</v>
      </c>
      <c r="G335" s="524" t="s">
        <v>3663</v>
      </c>
      <c r="H335" s="525" t="s">
        <v>3666</v>
      </c>
      <c r="I335" s="474"/>
      <c r="J335" s="475" t="s">
        <v>4495</v>
      </c>
    </row>
    <row r="336" spans="1:10" ht="14.25" customHeight="1">
      <c r="A336" s="520" t="s">
        <v>655</v>
      </c>
      <c r="B336" s="521" t="s">
        <v>656</v>
      </c>
      <c r="C336" s="520" t="s">
        <v>213</v>
      </c>
      <c r="D336" s="472">
        <v>6.8319999999999999</v>
      </c>
      <c r="E336" s="522">
        <v>5.5919999999999996</v>
      </c>
      <c r="F336" s="523">
        <v>2.2999999999999998</v>
      </c>
      <c r="G336" s="524" t="s">
        <v>3663</v>
      </c>
      <c r="H336" s="525" t="s">
        <v>3666</v>
      </c>
      <c r="I336" s="474"/>
      <c r="J336" s="475" t="s">
        <v>4496</v>
      </c>
    </row>
    <row r="337" spans="1:10" ht="14.25" customHeight="1">
      <c r="A337" s="520" t="s">
        <v>657</v>
      </c>
      <c r="B337" s="521" t="s">
        <v>658</v>
      </c>
      <c r="C337" s="520" t="s">
        <v>213</v>
      </c>
      <c r="D337" s="472">
        <v>5.4180000000000001</v>
      </c>
      <c r="E337" s="522">
        <v>5.0469999999999997</v>
      </c>
      <c r="F337" s="523">
        <v>2.2999999999999998</v>
      </c>
      <c r="G337" s="524" t="s">
        <v>3663</v>
      </c>
      <c r="H337" s="525" t="s">
        <v>3666</v>
      </c>
      <c r="I337" s="474"/>
      <c r="J337" s="475" t="s">
        <v>4497</v>
      </c>
    </row>
    <row r="338" spans="1:10" ht="14.25" customHeight="1">
      <c r="A338" s="520" t="s">
        <v>659</v>
      </c>
      <c r="B338" s="521" t="s">
        <v>660</v>
      </c>
      <c r="C338" s="520" t="s">
        <v>213</v>
      </c>
      <c r="D338" s="472">
        <v>8.9740000000000002</v>
      </c>
      <c r="E338" s="522">
        <v>7.3470000000000004</v>
      </c>
      <c r="F338" s="523">
        <v>2.2999999999999998</v>
      </c>
      <c r="G338" s="524" t="s">
        <v>3663</v>
      </c>
      <c r="H338" s="525" t="s">
        <v>3666</v>
      </c>
      <c r="I338" s="474"/>
      <c r="J338" s="475" t="s">
        <v>4498</v>
      </c>
    </row>
    <row r="339" spans="1:10" ht="14.25" customHeight="1">
      <c r="A339" s="520" t="s">
        <v>661</v>
      </c>
      <c r="B339" s="521" t="s">
        <v>662</v>
      </c>
      <c r="C339" s="520" t="s">
        <v>213</v>
      </c>
      <c r="D339" s="472">
        <v>6.8319999999999999</v>
      </c>
      <c r="E339" s="522">
        <v>5.5919999999999996</v>
      </c>
      <c r="F339" s="523">
        <v>2.2999999999999998</v>
      </c>
      <c r="G339" s="524" t="s">
        <v>3663</v>
      </c>
      <c r="H339" s="525" t="s">
        <v>3666</v>
      </c>
      <c r="I339" s="474"/>
      <c r="J339" s="475" t="s">
        <v>4499</v>
      </c>
    </row>
    <row r="340" spans="1:10" ht="14.25" customHeight="1">
      <c r="A340" s="520" t="s">
        <v>663</v>
      </c>
      <c r="B340" s="521" t="s">
        <v>664</v>
      </c>
      <c r="C340" s="520" t="s">
        <v>213</v>
      </c>
      <c r="D340" s="472">
        <v>5.4180000000000001</v>
      </c>
      <c r="E340" s="522">
        <v>5.0469999999999997</v>
      </c>
      <c r="F340" s="523">
        <v>2.2999999999999998</v>
      </c>
      <c r="G340" s="524" t="s">
        <v>3663</v>
      </c>
      <c r="H340" s="525" t="s">
        <v>3666</v>
      </c>
      <c r="I340" s="474"/>
      <c r="J340" s="475" t="s">
        <v>4500</v>
      </c>
    </row>
    <row r="341" spans="1:10" ht="14.25" customHeight="1">
      <c r="A341" s="520" t="s">
        <v>665</v>
      </c>
      <c r="B341" s="521" t="s">
        <v>666</v>
      </c>
      <c r="C341" s="520" t="s">
        <v>213</v>
      </c>
      <c r="D341" s="472">
        <v>8.9740000000000002</v>
      </c>
      <c r="E341" s="522">
        <v>7.3470000000000004</v>
      </c>
      <c r="F341" s="523">
        <v>2.2999999999999998</v>
      </c>
      <c r="G341" s="524" t="s">
        <v>3663</v>
      </c>
      <c r="H341" s="525" t="s">
        <v>3666</v>
      </c>
      <c r="I341" s="474"/>
      <c r="J341" s="475" t="s">
        <v>4501</v>
      </c>
    </row>
    <row r="342" spans="1:10" ht="14.25" customHeight="1">
      <c r="A342" s="520" t="s">
        <v>667</v>
      </c>
      <c r="B342" s="521" t="s">
        <v>668</v>
      </c>
      <c r="C342" s="520" t="s">
        <v>213</v>
      </c>
      <c r="D342" s="472">
        <v>6.8319999999999999</v>
      </c>
      <c r="E342" s="522">
        <v>5.5919999999999996</v>
      </c>
      <c r="F342" s="523">
        <v>2.2999999999999998</v>
      </c>
      <c r="G342" s="524" t="s">
        <v>3663</v>
      </c>
      <c r="H342" s="525" t="s">
        <v>3666</v>
      </c>
      <c r="I342" s="474"/>
      <c r="J342" s="475" t="s">
        <v>4502</v>
      </c>
    </row>
    <row r="343" spans="1:10" ht="14.25" customHeight="1">
      <c r="A343" s="520" t="s">
        <v>669</v>
      </c>
      <c r="B343" s="521" t="s">
        <v>670</v>
      </c>
      <c r="C343" s="520" t="s">
        <v>213</v>
      </c>
      <c r="D343" s="472">
        <v>5.4180000000000001</v>
      </c>
      <c r="E343" s="522">
        <v>5.0469999999999997</v>
      </c>
      <c r="F343" s="523">
        <v>2.2999999999999998</v>
      </c>
      <c r="G343" s="524" t="s">
        <v>3663</v>
      </c>
      <c r="H343" s="525" t="s">
        <v>3666</v>
      </c>
      <c r="I343" s="474"/>
      <c r="J343" s="475" t="s">
        <v>4503</v>
      </c>
    </row>
    <row r="344" spans="1:10" ht="14.25" customHeight="1">
      <c r="A344" s="520" t="s">
        <v>671</v>
      </c>
      <c r="B344" s="521" t="s">
        <v>672</v>
      </c>
      <c r="C344" s="520" t="s">
        <v>213</v>
      </c>
      <c r="D344" s="472">
        <v>8.9740000000000002</v>
      </c>
      <c r="E344" s="522">
        <v>7.3470000000000004</v>
      </c>
      <c r="F344" s="523">
        <v>2.2999999999999998</v>
      </c>
      <c r="G344" s="524" t="s">
        <v>3663</v>
      </c>
      <c r="H344" s="525" t="s">
        <v>3666</v>
      </c>
      <c r="I344" s="474"/>
      <c r="J344" s="475" t="s">
        <v>4504</v>
      </c>
    </row>
    <row r="345" spans="1:10" ht="14.25" customHeight="1">
      <c r="A345" s="520" t="s">
        <v>3761</v>
      </c>
      <c r="B345" s="521" t="s">
        <v>3762</v>
      </c>
      <c r="C345" s="520" t="s">
        <v>213</v>
      </c>
      <c r="D345" s="472">
        <v>6.8319999999999999</v>
      </c>
      <c r="E345" s="522">
        <v>5.5919999999999996</v>
      </c>
      <c r="F345" s="523">
        <v>2.2999999999999998</v>
      </c>
      <c r="G345" s="524" t="s">
        <v>3663</v>
      </c>
      <c r="H345" s="525" t="s">
        <v>3666</v>
      </c>
      <c r="I345" s="474"/>
      <c r="J345" s="475" t="s">
        <v>4505</v>
      </c>
    </row>
    <row r="346" spans="1:10" ht="14.25" customHeight="1">
      <c r="A346" s="520" t="s">
        <v>3763</v>
      </c>
      <c r="B346" s="521" t="s">
        <v>3764</v>
      </c>
      <c r="C346" s="520" t="s">
        <v>213</v>
      </c>
      <c r="D346" s="472">
        <v>5.4180000000000001</v>
      </c>
      <c r="E346" s="522">
        <v>5.0469999999999997</v>
      </c>
      <c r="F346" s="523">
        <v>2.2999999999999998</v>
      </c>
      <c r="G346" s="524" t="s">
        <v>3663</v>
      </c>
      <c r="H346" s="525" t="s">
        <v>3666</v>
      </c>
      <c r="I346" s="474"/>
      <c r="J346" s="475" t="s">
        <v>4506</v>
      </c>
    </row>
    <row r="347" spans="1:10" ht="14.25" customHeight="1">
      <c r="A347" s="520" t="s">
        <v>3765</v>
      </c>
      <c r="B347" s="521" t="s">
        <v>3766</v>
      </c>
      <c r="C347" s="520" t="s">
        <v>213</v>
      </c>
      <c r="D347" s="472">
        <v>8.9740000000000002</v>
      </c>
      <c r="E347" s="522">
        <v>7.3470000000000004</v>
      </c>
      <c r="F347" s="523">
        <v>2.2999999999999998</v>
      </c>
      <c r="G347" s="524" t="s">
        <v>3663</v>
      </c>
      <c r="H347" s="525" t="s">
        <v>3666</v>
      </c>
      <c r="I347" s="474"/>
      <c r="J347" s="475" t="s">
        <v>4507</v>
      </c>
    </row>
    <row r="348" spans="1:10" ht="14.25" customHeight="1">
      <c r="A348" s="520" t="s">
        <v>673</v>
      </c>
      <c r="B348" s="521" t="s">
        <v>3767</v>
      </c>
      <c r="C348" s="520" t="s">
        <v>213</v>
      </c>
      <c r="D348" s="472">
        <v>6.8319999999999999</v>
      </c>
      <c r="E348" s="522">
        <v>5.5919999999999996</v>
      </c>
      <c r="F348" s="523">
        <v>2.2999999999999998</v>
      </c>
      <c r="G348" s="524" t="s">
        <v>3663</v>
      </c>
      <c r="H348" s="525" t="s">
        <v>3666</v>
      </c>
      <c r="I348" s="474"/>
      <c r="J348" s="475" t="s">
        <v>4508</v>
      </c>
    </row>
    <row r="349" spans="1:10" ht="14.25" customHeight="1">
      <c r="A349" s="520" t="s">
        <v>674</v>
      </c>
      <c r="B349" s="521" t="s">
        <v>3768</v>
      </c>
      <c r="C349" s="520" t="s">
        <v>213</v>
      </c>
      <c r="D349" s="472">
        <v>5.4180000000000001</v>
      </c>
      <c r="E349" s="522">
        <v>5.0469999999999997</v>
      </c>
      <c r="F349" s="523">
        <v>2.2999999999999998</v>
      </c>
      <c r="G349" s="524" t="s">
        <v>3663</v>
      </c>
      <c r="H349" s="525" t="s">
        <v>3666</v>
      </c>
      <c r="I349" s="474"/>
      <c r="J349" s="475" t="s">
        <v>4509</v>
      </c>
    </row>
    <row r="350" spans="1:10" ht="14.25" customHeight="1">
      <c r="A350" s="520" t="s">
        <v>675</v>
      </c>
      <c r="B350" s="521" t="s">
        <v>3769</v>
      </c>
      <c r="C350" s="520" t="s">
        <v>213</v>
      </c>
      <c r="D350" s="472">
        <v>8.9740000000000002</v>
      </c>
      <c r="E350" s="522">
        <v>7.3470000000000004</v>
      </c>
      <c r="F350" s="523">
        <v>2.2999999999999998</v>
      </c>
      <c r="G350" s="524" t="s">
        <v>3663</v>
      </c>
      <c r="H350" s="525" t="s">
        <v>3666</v>
      </c>
      <c r="I350" s="474"/>
      <c r="J350" s="475" t="s">
        <v>4510</v>
      </c>
    </row>
    <row r="351" spans="1:10" ht="14.25" customHeight="1">
      <c r="A351" s="520" t="s">
        <v>3770</v>
      </c>
      <c r="B351" s="521" t="s">
        <v>3771</v>
      </c>
      <c r="C351" s="520" t="s">
        <v>213</v>
      </c>
      <c r="D351" s="472">
        <v>6.8319999999999999</v>
      </c>
      <c r="E351" s="522">
        <v>5.5919999999999996</v>
      </c>
      <c r="F351" s="523">
        <v>2.2999999999999998</v>
      </c>
      <c r="G351" s="524" t="s">
        <v>3663</v>
      </c>
      <c r="H351" s="525" t="s">
        <v>3666</v>
      </c>
      <c r="I351" s="474"/>
      <c r="J351" s="475" t="s">
        <v>4511</v>
      </c>
    </row>
    <row r="352" spans="1:10" ht="14.25" customHeight="1">
      <c r="A352" s="520" t="s">
        <v>3772</v>
      </c>
      <c r="B352" s="521" t="s">
        <v>3773</v>
      </c>
      <c r="C352" s="520" t="s">
        <v>213</v>
      </c>
      <c r="D352" s="472">
        <v>5.4180000000000001</v>
      </c>
      <c r="E352" s="522">
        <v>5.0469999999999997</v>
      </c>
      <c r="F352" s="523">
        <v>2.2999999999999998</v>
      </c>
      <c r="G352" s="524" t="s">
        <v>3663</v>
      </c>
      <c r="H352" s="525" t="s">
        <v>3666</v>
      </c>
      <c r="I352" s="474"/>
      <c r="J352" s="475" t="s">
        <v>4512</v>
      </c>
    </row>
    <row r="353" spans="1:10" ht="14.25" customHeight="1">
      <c r="A353" s="520" t="s">
        <v>3774</v>
      </c>
      <c r="B353" s="521" t="s">
        <v>3775</v>
      </c>
      <c r="C353" s="520" t="s">
        <v>213</v>
      </c>
      <c r="D353" s="472">
        <v>8.9740000000000002</v>
      </c>
      <c r="E353" s="522">
        <v>7.3470000000000004</v>
      </c>
      <c r="F353" s="523">
        <v>2.2999999999999998</v>
      </c>
      <c r="G353" s="524" t="s">
        <v>3663</v>
      </c>
      <c r="H353" s="525" t="s">
        <v>3666</v>
      </c>
      <c r="I353" s="474"/>
      <c r="J353" s="475" t="s">
        <v>4513</v>
      </c>
    </row>
    <row r="354" spans="1:10" ht="14.25" customHeight="1">
      <c r="A354" s="520" t="s">
        <v>3776</v>
      </c>
      <c r="B354" s="521" t="s">
        <v>3777</v>
      </c>
      <c r="C354" s="520" t="s">
        <v>213</v>
      </c>
      <c r="D354" s="472">
        <v>6.8319999999999999</v>
      </c>
      <c r="E354" s="522">
        <v>5.5919999999999996</v>
      </c>
      <c r="F354" s="523">
        <v>2.2999999999999998</v>
      </c>
      <c r="G354" s="524" t="s">
        <v>3663</v>
      </c>
      <c r="H354" s="525" t="s">
        <v>3666</v>
      </c>
      <c r="I354" s="474"/>
      <c r="J354" s="475" t="s">
        <v>4514</v>
      </c>
    </row>
    <row r="355" spans="1:10" ht="14.25" customHeight="1">
      <c r="A355" s="520" t="s">
        <v>3778</v>
      </c>
      <c r="B355" s="521" t="s">
        <v>3779</v>
      </c>
      <c r="C355" s="520" t="s">
        <v>213</v>
      </c>
      <c r="D355" s="472">
        <v>5.4180000000000001</v>
      </c>
      <c r="E355" s="522">
        <v>5.0469999999999997</v>
      </c>
      <c r="F355" s="523">
        <v>2.2999999999999998</v>
      </c>
      <c r="G355" s="524" t="s">
        <v>3663</v>
      </c>
      <c r="H355" s="525" t="s">
        <v>3666</v>
      </c>
      <c r="I355" s="474"/>
      <c r="J355" s="475" t="s">
        <v>4515</v>
      </c>
    </row>
    <row r="356" spans="1:10" ht="14.25" customHeight="1">
      <c r="A356" s="520" t="s">
        <v>3780</v>
      </c>
      <c r="B356" s="521" t="s">
        <v>3781</v>
      </c>
      <c r="C356" s="520" t="s">
        <v>213</v>
      </c>
      <c r="D356" s="472">
        <v>8.9740000000000002</v>
      </c>
      <c r="E356" s="522">
        <v>7.3470000000000004</v>
      </c>
      <c r="F356" s="523">
        <v>2.2999999999999998</v>
      </c>
      <c r="G356" s="524" t="s">
        <v>3663</v>
      </c>
      <c r="H356" s="525" t="s">
        <v>3666</v>
      </c>
      <c r="I356" s="474"/>
      <c r="J356" s="475" t="s">
        <v>4516</v>
      </c>
    </row>
    <row r="357" spans="1:10" ht="14.25" customHeight="1">
      <c r="A357" s="520" t="s">
        <v>3782</v>
      </c>
      <c r="B357" s="521" t="s">
        <v>3783</v>
      </c>
      <c r="C357" s="520" t="s">
        <v>213</v>
      </c>
      <c r="D357" s="472">
        <v>6.8319999999999999</v>
      </c>
      <c r="E357" s="522">
        <v>5.5919999999999996</v>
      </c>
      <c r="F357" s="523">
        <v>2.2999999999999998</v>
      </c>
      <c r="G357" s="524" t="s">
        <v>3663</v>
      </c>
      <c r="H357" s="525" t="s">
        <v>3666</v>
      </c>
      <c r="I357" s="474"/>
      <c r="J357" s="475" t="s">
        <v>4517</v>
      </c>
    </row>
    <row r="358" spans="1:10" ht="14.25" customHeight="1">
      <c r="A358" s="520" t="s">
        <v>3784</v>
      </c>
      <c r="B358" s="521" t="s">
        <v>3785</v>
      </c>
      <c r="C358" s="520" t="s">
        <v>213</v>
      </c>
      <c r="D358" s="472">
        <v>5.4180000000000001</v>
      </c>
      <c r="E358" s="522">
        <v>5.0469999999999997</v>
      </c>
      <c r="F358" s="523">
        <v>2.2999999999999998</v>
      </c>
      <c r="G358" s="524" t="s">
        <v>3663</v>
      </c>
      <c r="H358" s="525" t="s">
        <v>3666</v>
      </c>
      <c r="I358" s="474"/>
      <c r="J358" s="475" t="s">
        <v>4518</v>
      </c>
    </row>
    <row r="359" spans="1:10" ht="14.25" customHeight="1">
      <c r="A359" s="520" t="s">
        <v>3786</v>
      </c>
      <c r="B359" s="521" t="s">
        <v>3787</v>
      </c>
      <c r="C359" s="520" t="s">
        <v>213</v>
      </c>
      <c r="D359" s="472">
        <v>8.9740000000000002</v>
      </c>
      <c r="E359" s="522">
        <v>7.3470000000000004</v>
      </c>
      <c r="F359" s="523">
        <v>2.2999999999999998</v>
      </c>
      <c r="G359" s="524" t="s">
        <v>3663</v>
      </c>
      <c r="H359" s="525" t="s">
        <v>3666</v>
      </c>
      <c r="I359" s="474"/>
      <c r="J359" s="475" t="s">
        <v>4519</v>
      </c>
    </row>
    <row r="360" spans="1:10" ht="14.25" customHeight="1">
      <c r="A360" s="520" t="s">
        <v>676</v>
      </c>
      <c r="B360" s="521" t="s">
        <v>677</v>
      </c>
      <c r="C360" s="520" t="s">
        <v>213</v>
      </c>
      <c r="D360" s="472">
        <v>6.8319999999999999</v>
      </c>
      <c r="E360" s="522">
        <v>5.5919999999999996</v>
      </c>
      <c r="F360" s="523">
        <v>2.2999999999999998</v>
      </c>
      <c r="G360" s="524" t="s">
        <v>3663</v>
      </c>
      <c r="H360" s="525" t="s">
        <v>3666</v>
      </c>
      <c r="I360" s="474"/>
      <c r="J360" s="475" t="s">
        <v>4520</v>
      </c>
    </row>
    <row r="361" spans="1:10" ht="14.25" customHeight="1">
      <c r="A361" s="520" t="s">
        <v>678</v>
      </c>
      <c r="B361" s="521" t="s">
        <v>679</v>
      </c>
      <c r="C361" s="520" t="s">
        <v>213</v>
      </c>
      <c r="D361" s="472">
        <v>5.4180000000000001</v>
      </c>
      <c r="E361" s="522">
        <v>5.0469999999999997</v>
      </c>
      <c r="F361" s="523">
        <v>2.2999999999999998</v>
      </c>
      <c r="G361" s="524" t="s">
        <v>3663</v>
      </c>
      <c r="H361" s="525" t="s">
        <v>3666</v>
      </c>
      <c r="I361" s="474"/>
      <c r="J361" s="475" t="s">
        <v>4521</v>
      </c>
    </row>
    <row r="362" spans="1:10" ht="14.25" customHeight="1">
      <c r="A362" s="520" t="s">
        <v>680</v>
      </c>
      <c r="B362" s="521" t="s">
        <v>681</v>
      </c>
      <c r="C362" s="520" t="s">
        <v>213</v>
      </c>
      <c r="D362" s="472">
        <v>8.9740000000000002</v>
      </c>
      <c r="E362" s="522">
        <v>7.3470000000000004</v>
      </c>
      <c r="F362" s="523">
        <v>2.2999999999999998</v>
      </c>
      <c r="G362" s="524" t="s">
        <v>3663</v>
      </c>
      <c r="H362" s="525" t="s">
        <v>3666</v>
      </c>
      <c r="I362" s="474"/>
      <c r="J362" s="475" t="s">
        <v>4522</v>
      </c>
    </row>
    <row r="363" spans="1:10" ht="14.25" customHeight="1">
      <c r="A363" s="520" t="s">
        <v>3788</v>
      </c>
      <c r="B363" s="521" t="s">
        <v>3789</v>
      </c>
      <c r="C363" s="520" t="s">
        <v>213</v>
      </c>
      <c r="D363" s="472">
        <v>6.8319999999999999</v>
      </c>
      <c r="E363" s="522">
        <v>5.5919999999999996</v>
      </c>
      <c r="F363" s="523">
        <v>2.2999999999999998</v>
      </c>
      <c r="G363" s="524" t="s">
        <v>3663</v>
      </c>
      <c r="H363" s="525" t="s">
        <v>3666</v>
      </c>
      <c r="I363" s="474"/>
      <c r="J363" s="475" t="s">
        <v>4523</v>
      </c>
    </row>
    <row r="364" spans="1:10" ht="14.25" customHeight="1">
      <c r="A364" s="520" t="s">
        <v>3790</v>
      </c>
      <c r="B364" s="521" t="s">
        <v>3791</v>
      </c>
      <c r="C364" s="520" t="s">
        <v>213</v>
      </c>
      <c r="D364" s="472">
        <v>5.4180000000000001</v>
      </c>
      <c r="E364" s="522">
        <v>5.0469999999999997</v>
      </c>
      <c r="F364" s="523">
        <v>2.2999999999999998</v>
      </c>
      <c r="G364" s="524" t="s">
        <v>3663</v>
      </c>
      <c r="H364" s="525" t="s">
        <v>3666</v>
      </c>
      <c r="I364" s="474"/>
      <c r="J364" s="475" t="s">
        <v>4524</v>
      </c>
    </row>
    <row r="365" spans="1:10" ht="14.25" customHeight="1">
      <c r="A365" s="520" t="s">
        <v>3792</v>
      </c>
      <c r="B365" s="521" t="s">
        <v>3793</v>
      </c>
      <c r="C365" s="520" t="s">
        <v>213</v>
      </c>
      <c r="D365" s="472">
        <v>8.9740000000000002</v>
      </c>
      <c r="E365" s="522">
        <v>7.3470000000000004</v>
      </c>
      <c r="F365" s="523">
        <v>2.2999999999999998</v>
      </c>
      <c r="G365" s="524" t="s">
        <v>3663</v>
      </c>
      <c r="H365" s="525" t="s">
        <v>3666</v>
      </c>
      <c r="I365" s="474"/>
      <c r="J365" s="475" t="s">
        <v>4525</v>
      </c>
    </row>
    <row r="366" spans="1:10" ht="14.25" customHeight="1">
      <c r="A366" s="520" t="s">
        <v>3794</v>
      </c>
      <c r="B366" s="521" t="s">
        <v>3795</v>
      </c>
      <c r="C366" s="520" t="s">
        <v>213</v>
      </c>
      <c r="D366" s="472">
        <v>6.8319999999999999</v>
      </c>
      <c r="E366" s="522">
        <v>5.5919999999999996</v>
      </c>
      <c r="F366" s="523">
        <v>2.2999999999999998</v>
      </c>
      <c r="G366" s="524" t="s">
        <v>3663</v>
      </c>
      <c r="H366" s="525" t="s">
        <v>3666</v>
      </c>
      <c r="I366" s="474"/>
      <c r="J366" s="475" t="s">
        <v>4526</v>
      </c>
    </row>
    <row r="367" spans="1:10" ht="14.25" customHeight="1">
      <c r="A367" s="520" t="s">
        <v>3796</v>
      </c>
      <c r="B367" s="521" t="s">
        <v>3797</v>
      </c>
      <c r="C367" s="520" t="s">
        <v>213</v>
      </c>
      <c r="D367" s="472">
        <v>5.4180000000000001</v>
      </c>
      <c r="E367" s="522">
        <v>5.0469999999999997</v>
      </c>
      <c r="F367" s="523">
        <v>2.2999999999999998</v>
      </c>
      <c r="G367" s="524" t="s">
        <v>3663</v>
      </c>
      <c r="H367" s="525" t="s">
        <v>3666</v>
      </c>
      <c r="I367" s="474"/>
      <c r="J367" s="475" t="s">
        <v>4527</v>
      </c>
    </row>
    <row r="368" spans="1:10" ht="14.25" customHeight="1">
      <c r="A368" s="520" t="s">
        <v>3798</v>
      </c>
      <c r="B368" s="521" t="s">
        <v>3799</v>
      </c>
      <c r="C368" s="520" t="s">
        <v>213</v>
      </c>
      <c r="D368" s="472">
        <v>8.9740000000000002</v>
      </c>
      <c r="E368" s="522">
        <v>7.3470000000000004</v>
      </c>
      <c r="F368" s="523">
        <v>2.2999999999999998</v>
      </c>
      <c r="G368" s="524" t="s">
        <v>3663</v>
      </c>
      <c r="H368" s="525" t="s">
        <v>3666</v>
      </c>
      <c r="I368" s="474"/>
      <c r="J368" s="475" t="s">
        <v>4528</v>
      </c>
    </row>
    <row r="369" spans="1:10" ht="14.25" customHeight="1">
      <c r="A369" s="520" t="s">
        <v>3800</v>
      </c>
      <c r="B369" s="521" t="s">
        <v>3801</v>
      </c>
      <c r="C369" s="520" t="s">
        <v>213</v>
      </c>
      <c r="D369" s="472">
        <v>6.8319999999999999</v>
      </c>
      <c r="E369" s="522">
        <v>5.5919999999999996</v>
      </c>
      <c r="F369" s="523">
        <v>2.2999999999999998</v>
      </c>
      <c r="G369" s="524" t="s">
        <v>3663</v>
      </c>
      <c r="H369" s="525" t="s">
        <v>3666</v>
      </c>
      <c r="I369" s="474"/>
      <c r="J369" s="475" t="s">
        <v>4529</v>
      </c>
    </row>
    <row r="370" spans="1:10" ht="14.25" customHeight="1">
      <c r="A370" s="520" t="s">
        <v>3802</v>
      </c>
      <c r="B370" s="521" t="s">
        <v>3803</v>
      </c>
      <c r="C370" s="520" t="s">
        <v>213</v>
      </c>
      <c r="D370" s="472">
        <v>5.4180000000000001</v>
      </c>
      <c r="E370" s="522">
        <v>5.0469999999999997</v>
      </c>
      <c r="F370" s="523">
        <v>2.2999999999999998</v>
      </c>
      <c r="G370" s="524" t="s">
        <v>3663</v>
      </c>
      <c r="H370" s="525" t="s">
        <v>3666</v>
      </c>
      <c r="I370" s="474"/>
      <c r="J370" s="475" t="s">
        <v>4530</v>
      </c>
    </row>
    <row r="371" spans="1:10" ht="14.25" customHeight="1">
      <c r="A371" s="520" t="s">
        <v>3804</v>
      </c>
      <c r="B371" s="521" t="s">
        <v>3805</v>
      </c>
      <c r="C371" s="520" t="s">
        <v>213</v>
      </c>
      <c r="D371" s="472">
        <v>8.9740000000000002</v>
      </c>
      <c r="E371" s="522">
        <v>7.3470000000000004</v>
      </c>
      <c r="F371" s="523">
        <v>2.2999999999999998</v>
      </c>
      <c r="G371" s="524" t="s">
        <v>3663</v>
      </c>
      <c r="H371" s="525" t="s">
        <v>3666</v>
      </c>
      <c r="I371" s="474"/>
      <c r="J371" s="475" t="s">
        <v>4531</v>
      </c>
    </row>
    <row r="372" spans="1:10" ht="14.25" customHeight="1">
      <c r="A372" s="520" t="s">
        <v>3806</v>
      </c>
      <c r="B372" s="521" t="s">
        <v>3807</v>
      </c>
      <c r="C372" s="520" t="s">
        <v>213</v>
      </c>
      <c r="D372" s="472">
        <v>6.8319999999999999</v>
      </c>
      <c r="E372" s="522">
        <v>5.5919999999999996</v>
      </c>
      <c r="F372" s="523">
        <v>2.2999999999999998</v>
      </c>
      <c r="G372" s="524" t="s">
        <v>3663</v>
      </c>
      <c r="H372" s="525" t="s">
        <v>3666</v>
      </c>
      <c r="I372" s="474"/>
      <c r="J372" s="475" t="s">
        <v>4532</v>
      </c>
    </row>
    <row r="373" spans="1:10" ht="14.25" customHeight="1">
      <c r="A373" s="520" t="s">
        <v>3808</v>
      </c>
      <c r="B373" s="521" t="s">
        <v>3809</v>
      </c>
      <c r="C373" s="520" t="s">
        <v>213</v>
      </c>
      <c r="D373" s="472">
        <v>5.4180000000000001</v>
      </c>
      <c r="E373" s="522">
        <v>5.0469999999999997</v>
      </c>
      <c r="F373" s="523">
        <v>2.2999999999999998</v>
      </c>
      <c r="G373" s="524" t="s">
        <v>3663</v>
      </c>
      <c r="H373" s="525" t="s">
        <v>3666</v>
      </c>
      <c r="I373" s="474"/>
      <c r="J373" s="475" t="s">
        <v>4533</v>
      </c>
    </row>
    <row r="374" spans="1:10" ht="14.25" customHeight="1">
      <c r="A374" s="520" t="s">
        <v>3810</v>
      </c>
      <c r="B374" s="521" t="s">
        <v>3811</v>
      </c>
      <c r="C374" s="520" t="s">
        <v>213</v>
      </c>
      <c r="D374" s="472">
        <v>8.9740000000000002</v>
      </c>
      <c r="E374" s="522">
        <v>7.3470000000000004</v>
      </c>
      <c r="F374" s="523">
        <v>2.2999999999999998</v>
      </c>
      <c r="G374" s="524" t="s">
        <v>3663</v>
      </c>
      <c r="H374" s="525" t="s">
        <v>3666</v>
      </c>
      <c r="I374" s="474"/>
      <c r="J374" s="475" t="s">
        <v>4534</v>
      </c>
    </row>
    <row r="375" spans="1:10" ht="14.25" customHeight="1">
      <c r="A375" s="520" t="s">
        <v>3812</v>
      </c>
      <c r="B375" s="521" t="s">
        <v>3813</v>
      </c>
      <c r="C375" s="520" t="s">
        <v>213</v>
      </c>
      <c r="D375" s="472">
        <v>6.8319999999999999</v>
      </c>
      <c r="E375" s="522">
        <v>5.5919999999999996</v>
      </c>
      <c r="F375" s="523">
        <v>2.2999999999999998</v>
      </c>
      <c r="G375" s="524" t="s">
        <v>3663</v>
      </c>
      <c r="H375" s="525" t="s">
        <v>3666</v>
      </c>
      <c r="I375" s="474"/>
      <c r="J375" s="475" t="s">
        <v>4535</v>
      </c>
    </row>
    <row r="376" spans="1:10" ht="14.25" customHeight="1">
      <c r="A376" s="520" t="s">
        <v>3814</v>
      </c>
      <c r="B376" s="521" t="s">
        <v>3815</v>
      </c>
      <c r="C376" s="520" t="s">
        <v>213</v>
      </c>
      <c r="D376" s="472">
        <v>5.4180000000000001</v>
      </c>
      <c r="E376" s="522">
        <v>5.0469999999999997</v>
      </c>
      <c r="F376" s="523">
        <v>2.2999999999999998</v>
      </c>
      <c r="G376" s="524" t="s">
        <v>3663</v>
      </c>
      <c r="H376" s="525" t="s">
        <v>3666</v>
      </c>
      <c r="I376" s="474"/>
      <c r="J376" s="475" t="s">
        <v>4536</v>
      </c>
    </row>
    <row r="377" spans="1:10" ht="14.25" customHeight="1">
      <c r="A377" s="520" t="s">
        <v>3816</v>
      </c>
      <c r="B377" s="521" t="s">
        <v>3817</v>
      </c>
      <c r="C377" s="520" t="s">
        <v>213</v>
      </c>
      <c r="D377" s="472">
        <v>8.9740000000000002</v>
      </c>
      <c r="E377" s="522">
        <v>7.3470000000000004</v>
      </c>
      <c r="F377" s="523">
        <v>2.2999999999999998</v>
      </c>
      <c r="G377" s="524" t="s">
        <v>3663</v>
      </c>
      <c r="H377" s="525" t="s">
        <v>3666</v>
      </c>
      <c r="I377" s="474"/>
      <c r="J377" s="475" t="s">
        <v>4537</v>
      </c>
    </row>
    <row r="378" spans="1:10" ht="14.25" customHeight="1">
      <c r="A378" s="520" t="s">
        <v>3818</v>
      </c>
      <c r="B378" s="521" t="s">
        <v>3819</v>
      </c>
      <c r="C378" s="520" t="s">
        <v>213</v>
      </c>
      <c r="D378" s="472">
        <v>6.8319999999999999</v>
      </c>
      <c r="E378" s="522">
        <v>5.5919999999999996</v>
      </c>
      <c r="F378" s="523">
        <v>2.2999999999999998</v>
      </c>
      <c r="G378" s="524" t="s">
        <v>3663</v>
      </c>
      <c r="H378" s="525" t="s">
        <v>3666</v>
      </c>
      <c r="I378" s="474"/>
      <c r="J378" s="475" t="s">
        <v>4538</v>
      </c>
    </row>
    <row r="379" spans="1:10" ht="14.25" customHeight="1">
      <c r="A379" s="520" t="s">
        <v>3820</v>
      </c>
      <c r="B379" s="521" t="s">
        <v>3821</v>
      </c>
      <c r="C379" s="520" t="s">
        <v>213</v>
      </c>
      <c r="D379" s="472">
        <v>5.4180000000000001</v>
      </c>
      <c r="E379" s="522">
        <v>5.0469999999999997</v>
      </c>
      <c r="F379" s="523">
        <v>2.2999999999999998</v>
      </c>
      <c r="G379" s="524" t="s">
        <v>3663</v>
      </c>
      <c r="H379" s="525" t="s">
        <v>3666</v>
      </c>
      <c r="I379" s="474"/>
      <c r="J379" s="475" t="s">
        <v>4539</v>
      </c>
    </row>
    <row r="380" spans="1:10" ht="14.25" customHeight="1">
      <c r="A380" s="520" t="s">
        <v>3822</v>
      </c>
      <c r="B380" s="521" t="s">
        <v>3823</v>
      </c>
      <c r="C380" s="520" t="s">
        <v>213</v>
      </c>
      <c r="D380" s="472">
        <v>8.9740000000000002</v>
      </c>
      <c r="E380" s="522">
        <v>7.3470000000000004</v>
      </c>
      <c r="F380" s="523">
        <v>2.2999999999999998</v>
      </c>
      <c r="G380" s="524" t="s">
        <v>3663</v>
      </c>
      <c r="H380" s="525" t="s">
        <v>3666</v>
      </c>
      <c r="I380" s="474"/>
      <c r="J380" s="475" t="s">
        <v>4540</v>
      </c>
    </row>
    <row r="381" spans="1:10" ht="14.25" customHeight="1">
      <c r="A381" s="520" t="s">
        <v>3824</v>
      </c>
      <c r="B381" s="521" t="s">
        <v>3825</v>
      </c>
      <c r="C381" s="520" t="s">
        <v>213</v>
      </c>
      <c r="D381" s="472">
        <v>6.8319999999999999</v>
      </c>
      <c r="E381" s="522">
        <v>5.5919999999999996</v>
      </c>
      <c r="F381" s="523">
        <v>2.2999999999999998</v>
      </c>
      <c r="G381" s="524" t="s">
        <v>3663</v>
      </c>
      <c r="H381" s="525" t="s">
        <v>3666</v>
      </c>
      <c r="I381" s="474"/>
      <c r="J381" s="475" t="s">
        <v>4541</v>
      </c>
    </row>
    <row r="382" spans="1:10" ht="14.25" customHeight="1">
      <c r="A382" s="520" t="s">
        <v>3826</v>
      </c>
      <c r="B382" s="521" t="s">
        <v>3827</v>
      </c>
      <c r="C382" s="520" t="s">
        <v>213</v>
      </c>
      <c r="D382" s="472">
        <v>5.4180000000000001</v>
      </c>
      <c r="E382" s="522">
        <v>5.0469999999999997</v>
      </c>
      <c r="F382" s="523">
        <v>2.2999999999999998</v>
      </c>
      <c r="G382" s="524" t="s">
        <v>3663</v>
      </c>
      <c r="H382" s="525" t="s">
        <v>3666</v>
      </c>
      <c r="I382" s="474"/>
      <c r="J382" s="475" t="s">
        <v>4542</v>
      </c>
    </row>
    <row r="383" spans="1:10" ht="14.25" customHeight="1">
      <c r="A383" s="520" t="s">
        <v>3828</v>
      </c>
      <c r="B383" s="521" t="s">
        <v>3829</v>
      </c>
      <c r="C383" s="520" t="s">
        <v>213</v>
      </c>
      <c r="D383" s="472">
        <v>8.9740000000000002</v>
      </c>
      <c r="E383" s="522">
        <v>7.3470000000000004</v>
      </c>
      <c r="F383" s="523">
        <v>2.2999999999999998</v>
      </c>
      <c r="G383" s="524" t="s">
        <v>3663</v>
      </c>
      <c r="H383" s="525" t="s">
        <v>3666</v>
      </c>
      <c r="I383" s="474"/>
      <c r="J383" s="475" t="s">
        <v>4543</v>
      </c>
    </row>
    <row r="384" spans="1:10" ht="14.25" customHeight="1">
      <c r="A384" s="520" t="s">
        <v>3830</v>
      </c>
      <c r="B384" s="521" t="s">
        <v>3831</v>
      </c>
      <c r="C384" s="520" t="s">
        <v>213</v>
      </c>
      <c r="D384" s="472">
        <v>6.8319999999999999</v>
      </c>
      <c r="E384" s="522">
        <v>5.5919999999999996</v>
      </c>
      <c r="F384" s="523">
        <v>2.2999999999999998</v>
      </c>
      <c r="G384" s="524" t="s">
        <v>3663</v>
      </c>
      <c r="H384" s="525" t="s">
        <v>3666</v>
      </c>
      <c r="I384" s="474"/>
      <c r="J384" s="475" t="s">
        <v>4544</v>
      </c>
    </row>
    <row r="385" spans="1:22" ht="14.25" customHeight="1">
      <c r="A385" s="520" t="s">
        <v>3832</v>
      </c>
      <c r="B385" s="521" t="s">
        <v>3833</v>
      </c>
      <c r="C385" s="520" t="s">
        <v>213</v>
      </c>
      <c r="D385" s="472">
        <v>5.4180000000000001</v>
      </c>
      <c r="E385" s="522">
        <v>5.0469999999999997</v>
      </c>
      <c r="F385" s="523">
        <v>2.2999999999999998</v>
      </c>
      <c r="G385" s="524" t="s">
        <v>3663</v>
      </c>
      <c r="H385" s="525" t="s">
        <v>3666</v>
      </c>
      <c r="I385" s="474"/>
      <c r="J385" s="475" t="s">
        <v>4545</v>
      </c>
    </row>
    <row r="386" spans="1:22" ht="14.25" customHeight="1">
      <c r="A386" s="520" t="s">
        <v>3834</v>
      </c>
      <c r="B386" s="521" t="s">
        <v>3835</v>
      </c>
      <c r="C386" s="520" t="s">
        <v>213</v>
      </c>
      <c r="D386" s="472">
        <v>8.9740000000000002</v>
      </c>
      <c r="E386" s="522">
        <v>7.3470000000000004</v>
      </c>
      <c r="F386" s="523">
        <v>2.2999999999999998</v>
      </c>
      <c r="G386" s="524" t="s">
        <v>3663</v>
      </c>
      <c r="H386" s="525" t="s">
        <v>3666</v>
      </c>
      <c r="I386" s="474"/>
      <c r="J386" s="475" t="s">
        <v>4546</v>
      </c>
    </row>
    <row r="387" spans="1:22" ht="14.25" customHeight="1">
      <c r="A387" s="520" t="s">
        <v>682</v>
      </c>
      <c r="B387" s="521" t="s">
        <v>683</v>
      </c>
      <c r="C387" s="520" t="s">
        <v>213</v>
      </c>
      <c r="D387" s="472">
        <v>6.8319999999999999</v>
      </c>
      <c r="E387" s="522">
        <v>5.5919999999999996</v>
      </c>
      <c r="F387" s="523">
        <v>2.2999999999999998</v>
      </c>
      <c r="G387" s="524" t="s">
        <v>3663</v>
      </c>
      <c r="H387" s="525" t="s">
        <v>3666</v>
      </c>
      <c r="I387" s="474"/>
      <c r="J387" s="475" t="s">
        <v>4547</v>
      </c>
    </row>
    <row r="388" spans="1:22" ht="14.25" customHeight="1">
      <c r="A388" s="520" t="s">
        <v>684</v>
      </c>
      <c r="B388" s="521" t="s">
        <v>685</v>
      </c>
      <c r="C388" s="520" t="s">
        <v>213</v>
      </c>
      <c r="D388" s="472">
        <v>5.4180000000000001</v>
      </c>
      <c r="E388" s="522">
        <v>5.0469999999999997</v>
      </c>
      <c r="F388" s="523">
        <v>2.2999999999999998</v>
      </c>
      <c r="G388" s="524" t="s">
        <v>3663</v>
      </c>
      <c r="H388" s="525" t="s">
        <v>3666</v>
      </c>
      <c r="I388" s="474"/>
      <c r="J388" s="475" t="s">
        <v>4548</v>
      </c>
    </row>
    <row r="389" spans="1:22" ht="14.25" customHeight="1">
      <c r="A389" s="541" t="s">
        <v>686</v>
      </c>
      <c r="B389" s="542" t="s">
        <v>687</v>
      </c>
      <c r="C389" s="541" t="s">
        <v>213</v>
      </c>
      <c r="D389" s="472">
        <v>5.0069999999999997</v>
      </c>
      <c r="E389" s="522">
        <v>4.3559999999999999</v>
      </c>
      <c r="F389" s="523">
        <v>2.2999999999999998</v>
      </c>
      <c r="G389" s="524" t="s">
        <v>3663</v>
      </c>
      <c r="H389" s="525" t="s">
        <v>3666</v>
      </c>
      <c r="I389" s="474"/>
      <c r="J389" s="475" t="s">
        <v>4549</v>
      </c>
    </row>
    <row r="390" spans="1:22" ht="14.25" customHeight="1">
      <c r="A390" s="541" t="s">
        <v>688</v>
      </c>
      <c r="B390" s="542" t="s">
        <v>689</v>
      </c>
      <c r="C390" s="541" t="s">
        <v>213</v>
      </c>
      <c r="D390" s="472">
        <v>5.0069999999999997</v>
      </c>
      <c r="E390" s="522">
        <v>4.3559999999999999</v>
      </c>
      <c r="F390" s="523">
        <v>2.2999999999999998</v>
      </c>
      <c r="G390" s="524" t="s">
        <v>3663</v>
      </c>
      <c r="H390" s="525" t="s">
        <v>3666</v>
      </c>
      <c r="I390" s="474"/>
      <c r="J390" s="475" t="s">
        <v>4550</v>
      </c>
    </row>
    <row r="391" spans="1:22" ht="14.25" customHeight="1">
      <c r="A391" s="541" t="s">
        <v>690</v>
      </c>
      <c r="B391" s="542" t="s">
        <v>691</v>
      </c>
      <c r="C391" s="541" t="s">
        <v>213</v>
      </c>
      <c r="D391" s="472">
        <v>5.0069999999999997</v>
      </c>
      <c r="E391" s="522">
        <v>4.3559999999999999</v>
      </c>
      <c r="F391" s="523">
        <v>2.2999999999999998</v>
      </c>
      <c r="G391" s="524" t="s">
        <v>3663</v>
      </c>
      <c r="H391" s="525" t="s">
        <v>3666</v>
      </c>
      <c r="I391" s="474"/>
      <c r="J391" s="475" t="s">
        <v>4551</v>
      </c>
    </row>
    <row r="392" spans="1:22" ht="14.25" customHeight="1">
      <c r="A392" s="541" t="s">
        <v>692</v>
      </c>
      <c r="B392" s="542" t="s">
        <v>693</v>
      </c>
      <c r="C392" s="541" t="s">
        <v>213</v>
      </c>
      <c r="D392" s="472">
        <v>4.0060000000000002</v>
      </c>
      <c r="E392" s="522">
        <v>3.484</v>
      </c>
      <c r="F392" s="523">
        <v>2.2999999999999998</v>
      </c>
      <c r="G392" s="524" t="s">
        <v>3663</v>
      </c>
      <c r="H392" s="525" t="s">
        <v>3666</v>
      </c>
      <c r="I392" s="474"/>
      <c r="J392" s="475" t="s">
        <v>4552</v>
      </c>
    </row>
    <row r="393" spans="1:22" ht="14.25" customHeight="1">
      <c r="A393" s="541" t="s">
        <v>694</v>
      </c>
      <c r="B393" s="542" t="s">
        <v>695</v>
      </c>
      <c r="C393" s="541" t="s">
        <v>213</v>
      </c>
      <c r="D393" s="472">
        <v>4.0060000000000002</v>
      </c>
      <c r="E393" s="522">
        <v>3.484</v>
      </c>
      <c r="F393" s="523">
        <v>2.2999999999999998</v>
      </c>
      <c r="G393" s="524" t="s">
        <v>3663</v>
      </c>
      <c r="H393" s="525" t="s">
        <v>3666</v>
      </c>
      <c r="I393" s="474"/>
      <c r="J393" s="475" t="s">
        <v>4553</v>
      </c>
    </row>
    <row r="394" spans="1:22" ht="15" customHeight="1">
      <c r="A394" s="541" t="s">
        <v>696</v>
      </c>
      <c r="B394" s="542" t="s">
        <v>697</v>
      </c>
      <c r="C394" s="541" t="s">
        <v>213</v>
      </c>
      <c r="D394" s="472">
        <v>4.0060000000000002</v>
      </c>
      <c r="E394" s="522">
        <v>3.484</v>
      </c>
      <c r="F394" s="523">
        <v>2.2999999999999998</v>
      </c>
      <c r="G394" s="524" t="s">
        <v>3663</v>
      </c>
      <c r="H394" s="525" t="s">
        <v>3666</v>
      </c>
      <c r="I394" s="474"/>
      <c r="J394" s="475" t="s">
        <v>4554</v>
      </c>
      <c r="K394" s="471"/>
      <c r="L394" s="471"/>
      <c r="M394" s="471"/>
      <c r="N394" s="471"/>
      <c r="O394" s="471"/>
      <c r="P394" s="471"/>
      <c r="Q394" s="471"/>
      <c r="R394" s="471"/>
      <c r="S394" s="471"/>
      <c r="T394" s="471"/>
      <c r="U394" s="471"/>
      <c r="V394" s="471"/>
    </row>
    <row r="395" spans="1:22" ht="15" customHeight="1">
      <c r="A395" s="541" t="s">
        <v>698</v>
      </c>
      <c r="B395" s="542" t="s">
        <v>699</v>
      </c>
      <c r="C395" s="541" t="s">
        <v>213</v>
      </c>
      <c r="D395" s="472">
        <v>4.0060000000000002</v>
      </c>
      <c r="E395" s="522">
        <v>3.484</v>
      </c>
      <c r="F395" s="523">
        <v>2.2999999999999998</v>
      </c>
      <c r="G395" s="524" t="s">
        <v>3663</v>
      </c>
      <c r="H395" s="525" t="s">
        <v>3666</v>
      </c>
      <c r="I395" s="474"/>
      <c r="J395" s="475" t="s">
        <v>4555</v>
      </c>
      <c r="K395" s="471"/>
      <c r="L395" s="471"/>
      <c r="M395" s="471"/>
      <c r="N395" s="471"/>
      <c r="O395" s="471"/>
      <c r="P395" s="471"/>
      <c r="Q395" s="471"/>
      <c r="R395" s="471"/>
      <c r="S395" s="471"/>
      <c r="T395" s="471"/>
      <c r="U395" s="471"/>
      <c r="V395" s="471"/>
    </row>
    <row r="396" spans="1:22" ht="15" customHeight="1">
      <c r="A396" s="541" t="s">
        <v>700</v>
      </c>
      <c r="B396" s="542" t="s">
        <v>701</v>
      </c>
      <c r="C396" s="541" t="s">
        <v>213</v>
      </c>
      <c r="D396" s="472">
        <v>4.0060000000000002</v>
      </c>
      <c r="E396" s="522">
        <v>3.484</v>
      </c>
      <c r="F396" s="523">
        <v>2.2999999999999998</v>
      </c>
      <c r="G396" s="524" t="s">
        <v>3663</v>
      </c>
      <c r="H396" s="525" t="s">
        <v>3666</v>
      </c>
      <c r="I396" s="474"/>
      <c r="J396" s="475" t="s">
        <v>4556</v>
      </c>
      <c r="K396" s="471"/>
      <c r="L396" s="471"/>
      <c r="M396" s="471"/>
      <c r="N396" s="471"/>
      <c r="O396" s="471"/>
      <c r="P396" s="471"/>
      <c r="Q396" s="471"/>
      <c r="R396" s="471"/>
      <c r="S396" s="471"/>
      <c r="T396" s="471"/>
      <c r="U396" s="471"/>
      <c r="V396" s="471"/>
    </row>
    <row r="397" spans="1:22" ht="15" customHeight="1">
      <c r="A397" s="541" t="s">
        <v>702</v>
      </c>
      <c r="B397" s="542" t="s">
        <v>703</v>
      </c>
      <c r="C397" s="541" t="s">
        <v>213</v>
      </c>
      <c r="D397" s="472">
        <v>4.0060000000000002</v>
      </c>
      <c r="E397" s="522">
        <v>3.484</v>
      </c>
      <c r="F397" s="523">
        <v>2.2999999999999998</v>
      </c>
      <c r="G397" s="524" t="s">
        <v>3663</v>
      </c>
      <c r="H397" s="525" t="s">
        <v>3666</v>
      </c>
      <c r="I397" s="474"/>
      <c r="J397" s="475" t="s">
        <v>4557</v>
      </c>
      <c r="K397" s="471"/>
      <c r="L397" s="471"/>
      <c r="M397" s="471"/>
      <c r="N397" s="471"/>
      <c r="O397" s="471"/>
      <c r="P397" s="471"/>
      <c r="Q397" s="471"/>
      <c r="R397" s="471"/>
      <c r="S397" s="471"/>
      <c r="T397" s="471"/>
      <c r="U397" s="471"/>
      <c r="V397" s="471"/>
    </row>
    <row r="398" spans="1:22" ht="15" customHeight="1">
      <c r="A398" s="541" t="s">
        <v>704</v>
      </c>
      <c r="B398" s="542" t="s">
        <v>705</v>
      </c>
      <c r="C398" s="541" t="s">
        <v>213</v>
      </c>
      <c r="D398" s="472">
        <v>4.0060000000000002</v>
      </c>
      <c r="E398" s="522">
        <v>3.484</v>
      </c>
      <c r="F398" s="523">
        <v>2.2999999999999998</v>
      </c>
      <c r="G398" s="524" t="s">
        <v>3663</v>
      </c>
      <c r="H398" s="525" t="s">
        <v>3666</v>
      </c>
      <c r="I398" s="474"/>
      <c r="J398" s="475" t="s">
        <v>4558</v>
      </c>
      <c r="K398" s="471"/>
      <c r="L398" s="471"/>
      <c r="M398" s="471"/>
      <c r="N398" s="471"/>
      <c r="O398" s="471"/>
      <c r="P398" s="471"/>
      <c r="Q398" s="471"/>
      <c r="R398" s="471"/>
      <c r="S398" s="471"/>
      <c r="T398" s="471"/>
      <c r="U398" s="471"/>
      <c r="V398" s="471"/>
    </row>
    <row r="399" spans="1:22" ht="15" customHeight="1">
      <c r="A399" s="541" t="s">
        <v>706</v>
      </c>
      <c r="B399" s="542" t="s">
        <v>707</v>
      </c>
      <c r="C399" s="541" t="s">
        <v>213</v>
      </c>
      <c r="D399" s="472">
        <v>4.0060000000000002</v>
      </c>
      <c r="E399" s="522">
        <v>3.484</v>
      </c>
      <c r="F399" s="523">
        <v>2.2999999999999998</v>
      </c>
      <c r="G399" s="524" t="s">
        <v>3663</v>
      </c>
      <c r="H399" s="525" t="s">
        <v>3666</v>
      </c>
      <c r="I399" s="474"/>
      <c r="J399" s="475" t="s">
        <v>4559</v>
      </c>
      <c r="K399" s="471"/>
      <c r="L399" s="471"/>
      <c r="M399" s="471"/>
      <c r="N399" s="471"/>
      <c r="O399" s="471"/>
      <c r="P399" s="471"/>
      <c r="Q399" s="471"/>
      <c r="R399" s="471"/>
      <c r="S399" s="471"/>
      <c r="T399" s="471"/>
      <c r="U399" s="471"/>
      <c r="V399" s="471"/>
    </row>
    <row r="400" spans="1:22" ht="15" customHeight="1">
      <c r="A400" s="541" t="s">
        <v>708</v>
      </c>
      <c r="B400" s="542" t="s">
        <v>709</v>
      </c>
      <c r="C400" s="541" t="s">
        <v>213</v>
      </c>
      <c r="D400" s="472">
        <v>4.0060000000000002</v>
      </c>
      <c r="E400" s="522">
        <v>3.484</v>
      </c>
      <c r="F400" s="523">
        <v>2.2999999999999998</v>
      </c>
      <c r="G400" s="524" t="s">
        <v>3663</v>
      </c>
      <c r="H400" s="525" t="s">
        <v>3666</v>
      </c>
      <c r="I400" s="474"/>
      <c r="J400" s="475" t="s">
        <v>4560</v>
      </c>
      <c r="K400" s="471"/>
      <c r="L400" s="471"/>
      <c r="M400" s="471"/>
      <c r="N400" s="471"/>
      <c r="O400" s="471"/>
      <c r="P400" s="471"/>
      <c r="Q400" s="471"/>
      <c r="R400" s="471"/>
      <c r="S400" s="471"/>
      <c r="T400" s="471"/>
      <c r="U400" s="471"/>
      <c r="V400" s="471"/>
    </row>
    <row r="401" spans="1:22" ht="15" customHeight="1">
      <c r="A401" s="541" t="s">
        <v>710</v>
      </c>
      <c r="B401" s="542" t="s">
        <v>711</v>
      </c>
      <c r="C401" s="541" t="s">
        <v>213</v>
      </c>
      <c r="D401" s="472">
        <v>4.0060000000000002</v>
      </c>
      <c r="E401" s="522">
        <v>3.484</v>
      </c>
      <c r="F401" s="523">
        <v>2.2999999999999998</v>
      </c>
      <c r="G401" s="524" t="s">
        <v>3663</v>
      </c>
      <c r="H401" s="525" t="s">
        <v>3666</v>
      </c>
      <c r="I401" s="474"/>
      <c r="J401" s="475" t="s">
        <v>4561</v>
      </c>
      <c r="K401" s="471"/>
      <c r="L401" s="471"/>
      <c r="M401" s="471"/>
      <c r="N401" s="471"/>
      <c r="O401" s="471"/>
      <c r="P401" s="471"/>
      <c r="Q401" s="471"/>
      <c r="R401" s="471"/>
      <c r="S401" s="471"/>
      <c r="T401" s="471"/>
      <c r="U401" s="471"/>
      <c r="V401" s="471"/>
    </row>
    <row r="402" spans="1:22" ht="15" customHeight="1">
      <c r="A402" s="541" t="s">
        <v>712</v>
      </c>
      <c r="B402" s="542" t="s">
        <v>713</v>
      </c>
      <c r="C402" s="541" t="s">
        <v>213</v>
      </c>
      <c r="D402" s="472">
        <v>4.0060000000000002</v>
      </c>
      <c r="E402" s="522">
        <v>3.484</v>
      </c>
      <c r="F402" s="523">
        <v>2.2999999999999998</v>
      </c>
      <c r="G402" s="524" t="s">
        <v>3663</v>
      </c>
      <c r="H402" s="525" t="s">
        <v>3666</v>
      </c>
      <c r="I402" s="474"/>
      <c r="J402" s="475" t="s">
        <v>4562</v>
      </c>
      <c r="K402" s="471"/>
      <c r="L402" s="471"/>
      <c r="M402" s="471"/>
      <c r="N402" s="471"/>
      <c r="O402" s="471"/>
      <c r="P402" s="471"/>
      <c r="Q402" s="471"/>
      <c r="R402" s="471"/>
      <c r="S402" s="471"/>
      <c r="T402" s="471"/>
      <c r="U402" s="471"/>
      <c r="V402" s="471"/>
    </row>
    <row r="403" spans="1:22" ht="15" customHeight="1">
      <c r="A403" s="541" t="s">
        <v>714</v>
      </c>
      <c r="B403" s="542" t="s">
        <v>715</v>
      </c>
      <c r="C403" s="541" t="s">
        <v>213</v>
      </c>
      <c r="D403" s="472">
        <v>4.0060000000000002</v>
      </c>
      <c r="E403" s="522">
        <v>3.484</v>
      </c>
      <c r="F403" s="523">
        <v>2.2999999999999998</v>
      </c>
      <c r="G403" s="524" t="s">
        <v>3663</v>
      </c>
      <c r="H403" s="525" t="s">
        <v>3666</v>
      </c>
      <c r="I403" s="474"/>
      <c r="J403" s="475" t="s">
        <v>4563</v>
      </c>
      <c r="K403" s="471"/>
      <c r="L403" s="471"/>
      <c r="M403" s="471"/>
      <c r="N403" s="471"/>
      <c r="O403" s="471"/>
      <c r="P403" s="471"/>
      <c r="Q403" s="471"/>
      <c r="R403" s="471"/>
      <c r="S403" s="471"/>
      <c r="T403" s="471"/>
      <c r="U403" s="471"/>
      <c r="V403" s="471"/>
    </row>
    <row r="404" spans="1:22" ht="15" customHeight="1">
      <c r="A404" s="541" t="s">
        <v>716</v>
      </c>
      <c r="B404" s="542" t="s">
        <v>717</v>
      </c>
      <c r="C404" s="541" t="s">
        <v>213</v>
      </c>
      <c r="D404" s="472">
        <v>4.0060000000000002</v>
      </c>
      <c r="E404" s="522">
        <v>3.484</v>
      </c>
      <c r="F404" s="523">
        <v>2.2999999999999998</v>
      </c>
      <c r="G404" s="524" t="s">
        <v>3663</v>
      </c>
      <c r="H404" s="525" t="s">
        <v>3666</v>
      </c>
      <c r="I404" s="474"/>
      <c r="J404" s="475" t="s">
        <v>4564</v>
      </c>
      <c r="K404" s="471"/>
      <c r="L404" s="471"/>
      <c r="M404" s="471"/>
      <c r="N404" s="471"/>
      <c r="O404" s="471"/>
      <c r="P404" s="471"/>
      <c r="Q404" s="471"/>
      <c r="R404" s="471"/>
      <c r="S404" s="471"/>
      <c r="T404" s="471"/>
      <c r="U404" s="471"/>
      <c r="V404" s="471"/>
    </row>
    <row r="405" spans="1:22" ht="15" customHeight="1">
      <c r="A405" s="541" t="s">
        <v>718</v>
      </c>
      <c r="B405" s="542" t="s">
        <v>719</v>
      </c>
      <c r="C405" s="541" t="s">
        <v>213</v>
      </c>
      <c r="D405" s="472">
        <v>5.5990000000000002</v>
      </c>
      <c r="E405" s="522">
        <v>4.8680000000000003</v>
      </c>
      <c r="F405" s="523">
        <v>2.2999999999999998</v>
      </c>
      <c r="G405" s="524" t="s">
        <v>3663</v>
      </c>
      <c r="H405" s="525" t="s">
        <v>3666</v>
      </c>
      <c r="I405" s="474"/>
      <c r="J405" s="475" t="s">
        <v>4565</v>
      </c>
      <c r="K405" s="471"/>
      <c r="L405" s="471"/>
      <c r="M405" s="471"/>
      <c r="N405" s="471"/>
      <c r="O405" s="471"/>
      <c r="P405" s="471"/>
      <c r="Q405" s="471"/>
      <c r="R405" s="471"/>
      <c r="S405" s="471"/>
      <c r="T405" s="471"/>
      <c r="U405" s="471"/>
      <c r="V405" s="471"/>
    </row>
    <row r="406" spans="1:22" ht="15" customHeight="1">
      <c r="A406" s="541" t="s">
        <v>720</v>
      </c>
      <c r="B406" s="542" t="s">
        <v>721</v>
      </c>
      <c r="C406" s="541" t="s">
        <v>213</v>
      </c>
      <c r="D406" s="472">
        <v>5.5990000000000002</v>
      </c>
      <c r="E406" s="522">
        <v>4.8680000000000003</v>
      </c>
      <c r="F406" s="523">
        <v>2.2999999999999998</v>
      </c>
      <c r="G406" s="524" t="s">
        <v>3663</v>
      </c>
      <c r="H406" s="525" t="s">
        <v>3666</v>
      </c>
      <c r="I406" s="474"/>
      <c r="J406" s="475" t="s">
        <v>4566</v>
      </c>
      <c r="K406" s="471"/>
      <c r="L406" s="471"/>
      <c r="M406" s="471"/>
      <c r="N406" s="471"/>
      <c r="O406" s="471"/>
      <c r="P406" s="471"/>
      <c r="Q406" s="471"/>
      <c r="R406" s="471"/>
      <c r="S406" s="471"/>
      <c r="T406" s="471"/>
      <c r="U406" s="471"/>
      <c r="V406" s="471"/>
    </row>
    <row r="407" spans="1:22" ht="15" customHeight="1">
      <c r="A407" s="541" t="s">
        <v>722</v>
      </c>
      <c r="B407" s="542" t="s">
        <v>723</v>
      </c>
      <c r="C407" s="541" t="s">
        <v>213</v>
      </c>
      <c r="D407" s="472">
        <v>5.5990000000000002</v>
      </c>
      <c r="E407" s="522">
        <v>4.8680000000000003</v>
      </c>
      <c r="F407" s="523">
        <v>2.2999999999999998</v>
      </c>
      <c r="G407" s="524" t="s">
        <v>3663</v>
      </c>
      <c r="H407" s="525" t="s">
        <v>3666</v>
      </c>
      <c r="I407" s="474"/>
      <c r="J407" s="475" t="s">
        <v>4567</v>
      </c>
      <c r="K407" s="471"/>
      <c r="L407" s="471"/>
      <c r="M407" s="471"/>
      <c r="N407" s="471"/>
      <c r="O407" s="471"/>
      <c r="P407" s="471"/>
      <c r="Q407" s="471"/>
      <c r="R407" s="471"/>
      <c r="S407" s="471"/>
      <c r="T407" s="471"/>
      <c r="U407" s="471"/>
      <c r="V407" s="471"/>
    </row>
    <row r="408" spans="1:22" ht="15" customHeight="1">
      <c r="A408" s="541" t="s">
        <v>724</v>
      </c>
      <c r="B408" s="542" t="s">
        <v>725</v>
      </c>
      <c r="C408" s="541" t="s">
        <v>213</v>
      </c>
      <c r="D408" s="472">
        <v>4.5949999999999998</v>
      </c>
      <c r="E408" s="522">
        <v>3.996</v>
      </c>
      <c r="F408" s="523">
        <v>2.2999999999999998</v>
      </c>
      <c r="G408" s="524" t="s">
        <v>3663</v>
      </c>
      <c r="H408" s="525" t="s">
        <v>3666</v>
      </c>
      <c r="I408" s="474"/>
      <c r="J408" s="475" t="s">
        <v>4568</v>
      </c>
      <c r="K408" s="471"/>
      <c r="L408" s="471"/>
      <c r="M408" s="471"/>
      <c r="N408" s="471"/>
      <c r="O408" s="471"/>
      <c r="P408" s="471"/>
      <c r="Q408" s="471"/>
      <c r="R408" s="471"/>
      <c r="S408" s="471"/>
      <c r="T408" s="471"/>
      <c r="U408" s="471"/>
      <c r="V408" s="471"/>
    </row>
    <row r="409" spans="1:22" ht="15" customHeight="1">
      <c r="A409" s="541" t="s">
        <v>726</v>
      </c>
      <c r="B409" s="542" t="s">
        <v>727</v>
      </c>
      <c r="C409" s="541" t="s">
        <v>213</v>
      </c>
      <c r="D409" s="472">
        <v>4.5949999999999998</v>
      </c>
      <c r="E409" s="522">
        <v>3.996</v>
      </c>
      <c r="F409" s="523">
        <v>2.2999999999999998</v>
      </c>
      <c r="G409" s="524" t="s">
        <v>3663</v>
      </c>
      <c r="H409" s="525" t="s">
        <v>3666</v>
      </c>
      <c r="I409" s="474"/>
      <c r="J409" s="475" t="s">
        <v>4569</v>
      </c>
      <c r="K409" s="471"/>
      <c r="L409" s="471"/>
      <c r="M409" s="471"/>
      <c r="N409" s="471"/>
      <c r="O409" s="471"/>
      <c r="P409" s="471"/>
      <c r="Q409" s="471"/>
      <c r="R409" s="471"/>
      <c r="S409" s="471"/>
      <c r="T409" s="471"/>
      <c r="U409" s="471"/>
      <c r="V409" s="471"/>
    </row>
    <row r="410" spans="1:22" ht="15" customHeight="1">
      <c r="A410" s="541" t="s">
        <v>728</v>
      </c>
      <c r="B410" s="542" t="s">
        <v>729</v>
      </c>
      <c r="C410" s="541" t="s">
        <v>213</v>
      </c>
      <c r="D410" s="472">
        <v>4.5949999999999998</v>
      </c>
      <c r="E410" s="522">
        <v>3.996</v>
      </c>
      <c r="F410" s="523">
        <v>2.2999999999999998</v>
      </c>
      <c r="G410" s="524" t="s">
        <v>3663</v>
      </c>
      <c r="H410" s="525" t="s">
        <v>3666</v>
      </c>
      <c r="I410" s="474"/>
      <c r="J410" s="475" t="s">
        <v>4570</v>
      </c>
      <c r="K410" s="471"/>
      <c r="L410" s="471"/>
      <c r="M410" s="471"/>
      <c r="N410" s="471"/>
      <c r="O410" s="471"/>
      <c r="P410" s="471"/>
      <c r="Q410" s="471"/>
      <c r="R410" s="471"/>
      <c r="S410" s="471"/>
      <c r="T410" s="471"/>
      <c r="U410" s="471"/>
      <c r="V410" s="471"/>
    </row>
    <row r="411" spans="1:22" ht="15" customHeight="1">
      <c r="A411" s="541" t="s">
        <v>730</v>
      </c>
      <c r="B411" s="542" t="s">
        <v>731</v>
      </c>
      <c r="C411" s="541" t="s">
        <v>213</v>
      </c>
      <c r="D411" s="472">
        <v>4.5949999999999998</v>
      </c>
      <c r="E411" s="522">
        <v>3.996</v>
      </c>
      <c r="F411" s="523">
        <v>2.2999999999999998</v>
      </c>
      <c r="G411" s="524" t="s">
        <v>3663</v>
      </c>
      <c r="H411" s="525" t="s">
        <v>3666</v>
      </c>
      <c r="I411" s="474"/>
      <c r="J411" s="475" t="s">
        <v>4571</v>
      </c>
      <c r="K411" s="471"/>
      <c r="L411" s="471"/>
      <c r="M411" s="471"/>
      <c r="N411" s="471"/>
      <c r="O411" s="471"/>
      <c r="P411" s="471"/>
      <c r="Q411" s="471"/>
      <c r="R411" s="471"/>
      <c r="S411" s="471"/>
      <c r="T411" s="471"/>
      <c r="U411" s="471"/>
      <c r="V411" s="471"/>
    </row>
    <row r="412" spans="1:22" ht="15" customHeight="1">
      <c r="A412" s="541" t="s">
        <v>732</v>
      </c>
      <c r="B412" s="542" t="s">
        <v>733</v>
      </c>
      <c r="C412" s="541" t="s">
        <v>213</v>
      </c>
      <c r="D412" s="472">
        <v>4.5949999999999998</v>
      </c>
      <c r="E412" s="522">
        <v>3.996</v>
      </c>
      <c r="F412" s="523">
        <v>2.2999999999999998</v>
      </c>
      <c r="G412" s="524" t="s">
        <v>3663</v>
      </c>
      <c r="H412" s="525" t="s">
        <v>3666</v>
      </c>
      <c r="I412" s="474"/>
      <c r="J412" s="475" t="s">
        <v>4572</v>
      </c>
      <c r="K412" s="471"/>
      <c r="L412" s="471"/>
      <c r="M412" s="471"/>
      <c r="N412" s="471"/>
      <c r="O412" s="471"/>
      <c r="P412" s="471"/>
      <c r="Q412" s="471"/>
      <c r="R412" s="471"/>
      <c r="S412" s="471"/>
      <c r="T412" s="471"/>
      <c r="U412" s="471"/>
      <c r="V412" s="471"/>
    </row>
    <row r="413" spans="1:22" ht="15" customHeight="1">
      <c r="A413" s="541" t="s">
        <v>734</v>
      </c>
      <c r="B413" s="542" t="s">
        <v>735</v>
      </c>
      <c r="C413" s="541" t="s">
        <v>213</v>
      </c>
      <c r="D413" s="472">
        <v>4.5949999999999998</v>
      </c>
      <c r="E413" s="522">
        <v>3.996</v>
      </c>
      <c r="F413" s="523">
        <v>2.2999999999999998</v>
      </c>
      <c r="G413" s="524" t="s">
        <v>3663</v>
      </c>
      <c r="H413" s="525" t="s">
        <v>3666</v>
      </c>
      <c r="I413" s="474"/>
      <c r="J413" s="475" t="s">
        <v>4573</v>
      </c>
      <c r="K413" s="471"/>
      <c r="L413" s="471"/>
      <c r="M413" s="471"/>
      <c r="N413" s="471"/>
      <c r="O413" s="471"/>
      <c r="P413" s="471"/>
      <c r="Q413" s="471"/>
      <c r="R413" s="471"/>
      <c r="S413" s="471"/>
      <c r="T413" s="471"/>
      <c r="U413" s="471"/>
      <c r="V413" s="471"/>
    </row>
    <row r="414" spans="1:22" ht="15" customHeight="1">
      <c r="A414" s="541" t="s">
        <v>736</v>
      </c>
      <c r="B414" s="542" t="s">
        <v>737</v>
      </c>
      <c r="C414" s="541" t="s">
        <v>213</v>
      </c>
      <c r="D414" s="472">
        <v>4.5949999999999998</v>
      </c>
      <c r="E414" s="522">
        <v>3.996</v>
      </c>
      <c r="F414" s="523">
        <v>2.2999999999999998</v>
      </c>
      <c r="G414" s="524" t="s">
        <v>3663</v>
      </c>
      <c r="H414" s="525" t="s">
        <v>3666</v>
      </c>
      <c r="I414" s="474"/>
      <c r="J414" s="475" t="s">
        <v>4574</v>
      </c>
      <c r="K414" s="471"/>
      <c r="L414" s="471"/>
      <c r="M414" s="471"/>
      <c r="N414" s="471"/>
      <c r="O414" s="471"/>
      <c r="P414" s="471"/>
      <c r="Q414" s="471"/>
      <c r="R414" s="471"/>
      <c r="S414" s="471"/>
      <c r="T414" s="471"/>
      <c r="U414" s="471"/>
      <c r="V414" s="471"/>
    </row>
    <row r="415" spans="1:22" ht="15" customHeight="1">
      <c r="A415" s="541" t="s">
        <v>738</v>
      </c>
      <c r="B415" s="542" t="s">
        <v>739</v>
      </c>
      <c r="C415" s="541" t="s">
        <v>213</v>
      </c>
      <c r="D415" s="472">
        <v>4.5949999999999998</v>
      </c>
      <c r="E415" s="522">
        <v>3.996</v>
      </c>
      <c r="F415" s="523">
        <v>2.2999999999999998</v>
      </c>
      <c r="G415" s="524" t="s">
        <v>3663</v>
      </c>
      <c r="H415" s="525" t="s">
        <v>3666</v>
      </c>
      <c r="I415" s="474"/>
      <c r="J415" s="475" t="s">
        <v>4575</v>
      </c>
      <c r="K415" s="471"/>
      <c r="L415" s="471"/>
      <c r="M415" s="471"/>
      <c r="N415" s="471"/>
      <c r="O415" s="471"/>
      <c r="P415" s="471"/>
      <c r="Q415" s="471"/>
      <c r="R415" s="471"/>
      <c r="S415" s="471"/>
      <c r="T415" s="471"/>
      <c r="U415" s="471"/>
      <c r="V415" s="471"/>
    </row>
    <row r="416" spans="1:22" ht="15" customHeight="1">
      <c r="A416" s="541" t="s">
        <v>740</v>
      </c>
      <c r="B416" s="542" t="s">
        <v>741</v>
      </c>
      <c r="C416" s="541" t="s">
        <v>213</v>
      </c>
      <c r="D416" s="472">
        <v>4.5949999999999998</v>
      </c>
      <c r="E416" s="522">
        <v>3.996</v>
      </c>
      <c r="F416" s="523">
        <v>2.2999999999999998</v>
      </c>
      <c r="G416" s="524" t="s">
        <v>3663</v>
      </c>
      <c r="H416" s="525" t="s">
        <v>3666</v>
      </c>
      <c r="I416" s="474"/>
      <c r="J416" s="475" t="s">
        <v>4576</v>
      </c>
      <c r="K416" s="471"/>
      <c r="L416" s="471"/>
      <c r="M416" s="471"/>
      <c r="N416" s="471"/>
      <c r="O416" s="471"/>
      <c r="P416" s="471"/>
      <c r="Q416" s="471"/>
      <c r="R416" s="471"/>
      <c r="S416" s="471"/>
      <c r="T416" s="471"/>
      <c r="U416" s="471"/>
      <c r="V416" s="471"/>
    </row>
    <row r="417" spans="1:22" ht="15" customHeight="1">
      <c r="A417" s="541" t="s">
        <v>742</v>
      </c>
      <c r="B417" s="542" t="s">
        <v>743</v>
      </c>
      <c r="C417" s="541" t="s">
        <v>213</v>
      </c>
      <c r="D417" s="472">
        <v>4.5949999999999998</v>
      </c>
      <c r="E417" s="522">
        <v>3.996</v>
      </c>
      <c r="F417" s="523">
        <v>2.2999999999999998</v>
      </c>
      <c r="G417" s="524" t="s">
        <v>3663</v>
      </c>
      <c r="H417" s="525" t="s">
        <v>3666</v>
      </c>
      <c r="I417" s="474"/>
      <c r="J417" s="475" t="s">
        <v>4577</v>
      </c>
      <c r="K417" s="471"/>
      <c r="L417" s="471"/>
      <c r="M417" s="471"/>
      <c r="N417" s="471"/>
      <c r="O417" s="471"/>
      <c r="P417" s="471"/>
      <c r="Q417" s="471"/>
      <c r="R417" s="471"/>
      <c r="S417" s="471"/>
      <c r="T417" s="471"/>
      <c r="U417" s="471"/>
      <c r="V417" s="471"/>
    </row>
    <row r="418" spans="1:22" ht="15" customHeight="1">
      <c r="A418" s="541" t="s">
        <v>744</v>
      </c>
      <c r="B418" s="542" t="s">
        <v>745</v>
      </c>
      <c r="C418" s="541" t="s">
        <v>213</v>
      </c>
      <c r="D418" s="472">
        <v>4.5949999999999998</v>
      </c>
      <c r="E418" s="522">
        <v>3.996</v>
      </c>
      <c r="F418" s="523">
        <v>2.2999999999999998</v>
      </c>
      <c r="G418" s="524" t="s">
        <v>3663</v>
      </c>
      <c r="H418" s="525" t="s">
        <v>3666</v>
      </c>
      <c r="I418" s="474"/>
      <c r="J418" s="475" t="s">
        <v>4578</v>
      </c>
      <c r="K418" s="471"/>
      <c r="L418" s="471"/>
      <c r="M418" s="471"/>
      <c r="N418" s="471"/>
      <c r="O418" s="471"/>
      <c r="P418" s="471"/>
      <c r="Q418" s="471"/>
      <c r="R418" s="471"/>
      <c r="S418" s="471"/>
      <c r="T418" s="471"/>
      <c r="U418" s="471"/>
      <c r="V418" s="471"/>
    </row>
    <row r="419" spans="1:22" ht="15" customHeight="1">
      <c r="A419" s="541" t="s">
        <v>746</v>
      </c>
      <c r="B419" s="542" t="s">
        <v>747</v>
      </c>
      <c r="C419" s="541" t="s">
        <v>213</v>
      </c>
      <c r="D419" s="472">
        <v>4.5949999999999998</v>
      </c>
      <c r="E419" s="522">
        <v>3.996</v>
      </c>
      <c r="F419" s="523">
        <v>2.2999999999999998</v>
      </c>
      <c r="G419" s="524" t="s">
        <v>3663</v>
      </c>
      <c r="H419" s="525" t="s">
        <v>3666</v>
      </c>
      <c r="I419" s="474"/>
      <c r="J419" s="475" t="s">
        <v>4579</v>
      </c>
      <c r="K419" s="471"/>
      <c r="L419" s="471"/>
      <c r="M419" s="471"/>
      <c r="N419" s="471"/>
      <c r="O419" s="471"/>
      <c r="P419" s="471"/>
      <c r="Q419" s="471"/>
      <c r="R419" s="471"/>
      <c r="S419" s="471"/>
      <c r="T419" s="471"/>
      <c r="U419" s="471"/>
      <c r="V419" s="471"/>
    </row>
    <row r="420" spans="1:22" ht="15" customHeight="1">
      <c r="A420" s="541" t="s">
        <v>748</v>
      </c>
      <c r="B420" s="542" t="s">
        <v>749</v>
      </c>
      <c r="C420" s="541" t="s">
        <v>213</v>
      </c>
      <c r="D420" s="472">
        <v>4.5949999999999998</v>
      </c>
      <c r="E420" s="522">
        <v>3.996</v>
      </c>
      <c r="F420" s="523">
        <v>2.2999999999999998</v>
      </c>
      <c r="G420" s="524" t="s">
        <v>3663</v>
      </c>
      <c r="H420" s="525" t="s">
        <v>3666</v>
      </c>
      <c r="I420" s="474"/>
      <c r="J420" s="475" t="s">
        <v>4580</v>
      </c>
      <c r="K420" s="471"/>
      <c r="L420" s="471"/>
      <c r="M420" s="471"/>
      <c r="N420" s="471"/>
      <c r="O420" s="471"/>
      <c r="P420" s="471"/>
      <c r="Q420" s="471"/>
      <c r="R420" s="471"/>
      <c r="S420" s="471"/>
      <c r="T420" s="471"/>
      <c r="U420" s="471"/>
      <c r="V420" s="471"/>
    </row>
    <row r="421" spans="1:22" ht="15" customHeight="1">
      <c r="A421" s="520" t="s">
        <v>750</v>
      </c>
      <c r="B421" s="521" t="s">
        <v>751</v>
      </c>
      <c r="C421" s="520" t="s">
        <v>213</v>
      </c>
      <c r="D421" s="472">
        <v>5.899</v>
      </c>
      <c r="E421" s="522">
        <v>5.6120000000000001</v>
      </c>
      <c r="F421" s="523">
        <v>2.2999999999999998</v>
      </c>
      <c r="G421" s="524" t="s">
        <v>3663</v>
      </c>
      <c r="H421" s="525" t="s">
        <v>3666</v>
      </c>
      <c r="I421" s="474"/>
      <c r="J421" s="475" t="s">
        <v>4581</v>
      </c>
      <c r="K421" s="471"/>
      <c r="L421" s="471"/>
      <c r="M421" s="471"/>
      <c r="N421" s="471"/>
      <c r="O421" s="471"/>
      <c r="P421" s="471"/>
      <c r="Q421" s="471"/>
      <c r="R421" s="471"/>
      <c r="S421" s="471"/>
      <c r="T421" s="471"/>
      <c r="U421" s="471"/>
      <c r="V421" s="471"/>
    </row>
    <row r="422" spans="1:22" ht="15" customHeight="1">
      <c r="A422" s="520" t="s">
        <v>752</v>
      </c>
      <c r="B422" s="521" t="s">
        <v>753</v>
      </c>
      <c r="C422" s="520" t="s">
        <v>213</v>
      </c>
      <c r="D422" s="472">
        <v>7.7380000000000004</v>
      </c>
      <c r="E422" s="522">
        <v>7.3630000000000004</v>
      </c>
      <c r="F422" s="523">
        <v>2.2999999999999998</v>
      </c>
      <c r="G422" s="524" t="s">
        <v>3663</v>
      </c>
      <c r="H422" s="525" t="s">
        <v>3666</v>
      </c>
      <c r="I422" s="474"/>
      <c r="J422" s="475" t="s">
        <v>4582</v>
      </c>
      <c r="K422" s="471"/>
      <c r="L422" s="471"/>
      <c r="M422" s="471"/>
      <c r="N422" s="471"/>
      <c r="O422" s="471"/>
      <c r="P422" s="471"/>
      <c r="Q422" s="471"/>
      <c r="R422" s="471"/>
      <c r="S422" s="471"/>
      <c r="T422" s="471"/>
      <c r="U422" s="471"/>
      <c r="V422" s="471"/>
    </row>
    <row r="423" spans="1:22" ht="15" customHeight="1">
      <c r="A423" s="520" t="s">
        <v>754</v>
      </c>
      <c r="B423" s="521" t="s">
        <v>755</v>
      </c>
      <c r="C423" s="520" t="s">
        <v>213</v>
      </c>
      <c r="D423" s="472">
        <v>13.425000000000001</v>
      </c>
      <c r="E423" s="522">
        <v>10.542999999999999</v>
      </c>
      <c r="F423" s="523" t="s">
        <v>4166</v>
      </c>
      <c r="G423" s="524" t="s">
        <v>3663</v>
      </c>
      <c r="H423" s="525" t="s">
        <v>3666</v>
      </c>
      <c r="I423" s="474"/>
      <c r="J423" s="475" t="s">
        <v>4583</v>
      </c>
      <c r="K423" s="471"/>
      <c r="L423" s="471"/>
      <c r="M423" s="471"/>
      <c r="N423" s="471"/>
      <c r="O423" s="471"/>
      <c r="P423" s="471"/>
      <c r="Q423" s="471"/>
      <c r="R423" s="471"/>
      <c r="S423" s="471"/>
      <c r="T423" s="471"/>
      <c r="U423" s="471"/>
      <c r="V423" s="471"/>
    </row>
    <row r="424" spans="1:22" ht="15" customHeight="1">
      <c r="A424" s="520" t="s">
        <v>756</v>
      </c>
      <c r="B424" s="521" t="s">
        <v>757</v>
      </c>
      <c r="C424" s="520" t="s">
        <v>213</v>
      </c>
      <c r="D424" s="472">
        <v>15.581</v>
      </c>
      <c r="E424" s="522">
        <v>12.24</v>
      </c>
      <c r="F424" s="523" t="s">
        <v>4166</v>
      </c>
      <c r="G424" s="524" t="s">
        <v>3663</v>
      </c>
      <c r="H424" s="525" t="s">
        <v>3666</v>
      </c>
      <c r="I424" s="474"/>
      <c r="J424" s="475" t="s">
        <v>4584</v>
      </c>
      <c r="K424" s="471"/>
      <c r="L424" s="471"/>
      <c r="M424" s="471"/>
      <c r="N424" s="471"/>
      <c r="O424" s="471"/>
      <c r="P424" s="471"/>
      <c r="Q424" s="471"/>
      <c r="R424" s="471"/>
      <c r="S424" s="471"/>
      <c r="T424" s="471"/>
      <c r="U424" s="471"/>
      <c r="V424" s="471"/>
    </row>
    <row r="425" spans="1:22" ht="14.25" customHeight="1">
      <c r="A425" s="520" t="s">
        <v>758</v>
      </c>
      <c r="B425" s="521" t="s">
        <v>759</v>
      </c>
      <c r="C425" s="520" t="s">
        <v>213</v>
      </c>
      <c r="D425" s="472">
        <v>12.948</v>
      </c>
      <c r="E425" s="522">
        <v>10.817</v>
      </c>
      <c r="F425" s="523" t="s">
        <v>4166</v>
      </c>
      <c r="G425" s="524" t="s">
        <v>3663</v>
      </c>
      <c r="H425" s="525" t="s">
        <v>3666</v>
      </c>
      <c r="I425" s="474"/>
      <c r="J425" s="475" t="s">
        <v>4585</v>
      </c>
    </row>
    <row r="426" spans="1:22" ht="14.25" customHeight="1">
      <c r="A426" s="520" t="s">
        <v>760</v>
      </c>
      <c r="B426" s="521" t="s">
        <v>761</v>
      </c>
      <c r="C426" s="520" t="s">
        <v>213</v>
      </c>
      <c r="D426" s="472">
        <v>17.408999999999999</v>
      </c>
      <c r="E426" s="522">
        <v>11.194000000000001</v>
      </c>
      <c r="F426" s="523" t="s">
        <v>4166</v>
      </c>
      <c r="G426" s="524" t="s">
        <v>3663</v>
      </c>
      <c r="H426" s="525" t="s">
        <v>3666</v>
      </c>
      <c r="I426" s="474"/>
      <c r="J426" s="475" t="s">
        <v>4586</v>
      </c>
    </row>
    <row r="427" spans="1:22" ht="14.25" customHeight="1">
      <c r="A427" s="520" t="s">
        <v>762</v>
      </c>
      <c r="B427" s="521" t="s">
        <v>763</v>
      </c>
      <c r="C427" s="520" t="s">
        <v>213</v>
      </c>
      <c r="D427" s="472">
        <v>19.565000000000001</v>
      </c>
      <c r="E427" s="522">
        <v>13.595000000000001</v>
      </c>
      <c r="F427" s="523" t="s">
        <v>4166</v>
      </c>
      <c r="G427" s="524" t="s">
        <v>3663</v>
      </c>
      <c r="H427" s="525" t="s">
        <v>3666</v>
      </c>
      <c r="I427" s="474"/>
      <c r="J427" s="475" t="s">
        <v>4587</v>
      </c>
    </row>
    <row r="428" spans="1:22" ht="14.25" customHeight="1">
      <c r="A428" s="520" t="s">
        <v>764</v>
      </c>
      <c r="B428" s="521" t="s">
        <v>765</v>
      </c>
      <c r="C428" s="520" t="s">
        <v>213</v>
      </c>
      <c r="D428" s="472">
        <v>16.905000000000001</v>
      </c>
      <c r="E428" s="522">
        <v>13.77</v>
      </c>
      <c r="F428" s="523" t="s">
        <v>4166</v>
      </c>
      <c r="G428" s="524" t="s">
        <v>3663</v>
      </c>
      <c r="H428" s="525" t="s">
        <v>3666</v>
      </c>
      <c r="I428" s="474"/>
      <c r="J428" s="475" t="s">
        <v>4588</v>
      </c>
    </row>
    <row r="429" spans="1:22" ht="14.25" customHeight="1">
      <c r="A429" s="520" t="s">
        <v>766</v>
      </c>
      <c r="B429" s="521" t="s">
        <v>767</v>
      </c>
      <c r="C429" s="520" t="s">
        <v>213</v>
      </c>
      <c r="D429" s="472">
        <v>28.785</v>
      </c>
      <c r="E429" s="522">
        <v>26.83</v>
      </c>
      <c r="F429" s="523" t="s">
        <v>4166</v>
      </c>
      <c r="G429" s="524" t="s">
        <v>3663</v>
      </c>
      <c r="H429" s="525" t="s">
        <v>3666</v>
      </c>
      <c r="I429" s="474"/>
      <c r="J429" s="475" t="s">
        <v>4589</v>
      </c>
    </row>
    <row r="430" spans="1:22" ht="14.25" customHeight="1">
      <c r="A430" s="520" t="s">
        <v>768</v>
      </c>
      <c r="B430" s="521" t="s">
        <v>769</v>
      </c>
      <c r="C430" s="520" t="s">
        <v>213</v>
      </c>
      <c r="D430" s="472">
        <v>28.785</v>
      </c>
      <c r="E430" s="522">
        <v>26.83</v>
      </c>
      <c r="F430" s="523" t="s">
        <v>4166</v>
      </c>
      <c r="G430" s="524" t="s">
        <v>3663</v>
      </c>
      <c r="H430" s="525" t="s">
        <v>3666</v>
      </c>
      <c r="I430" s="474"/>
      <c r="J430" s="475" t="s">
        <v>4590</v>
      </c>
    </row>
    <row r="431" spans="1:22" ht="14.25" customHeight="1">
      <c r="A431" s="520" t="s">
        <v>770</v>
      </c>
      <c r="B431" s="521" t="s">
        <v>771</v>
      </c>
      <c r="C431" s="520" t="s">
        <v>213</v>
      </c>
      <c r="D431" s="472">
        <v>28.785</v>
      </c>
      <c r="E431" s="522">
        <v>26.83</v>
      </c>
      <c r="F431" s="523" t="s">
        <v>4166</v>
      </c>
      <c r="G431" s="524" t="s">
        <v>3663</v>
      </c>
      <c r="H431" s="525" t="s">
        <v>3666</v>
      </c>
      <c r="I431" s="474"/>
      <c r="J431" s="475" t="s">
        <v>4591</v>
      </c>
    </row>
    <row r="432" spans="1:22" ht="14.25" customHeight="1">
      <c r="A432" s="520" t="s">
        <v>772</v>
      </c>
      <c r="B432" s="521" t="s">
        <v>773</v>
      </c>
      <c r="C432" s="520" t="s">
        <v>213</v>
      </c>
      <c r="D432" s="472">
        <v>28.785</v>
      </c>
      <c r="E432" s="522">
        <v>26.83</v>
      </c>
      <c r="F432" s="523" t="s">
        <v>4166</v>
      </c>
      <c r="G432" s="524" t="s">
        <v>3663</v>
      </c>
      <c r="H432" s="525" t="s">
        <v>3666</v>
      </c>
      <c r="I432" s="474"/>
      <c r="J432" s="475" t="s">
        <v>4592</v>
      </c>
    </row>
    <row r="433" spans="1:10" ht="14.25" customHeight="1">
      <c r="A433" s="520" t="s">
        <v>774</v>
      </c>
      <c r="B433" s="521" t="s">
        <v>775</v>
      </c>
      <c r="C433" s="520" t="s">
        <v>213</v>
      </c>
      <c r="D433" s="472">
        <v>0.86099999999999999</v>
      </c>
      <c r="E433" s="522">
        <v>0.80300000000000005</v>
      </c>
      <c r="F433" s="523" t="s">
        <v>4166</v>
      </c>
      <c r="G433" s="524" t="s">
        <v>3663</v>
      </c>
      <c r="H433" s="525" t="s">
        <v>3666</v>
      </c>
      <c r="I433" s="474"/>
      <c r="J433" s="475" t="s">
        <v>4593</v>
      </c>
    </row>
    <row r="434" spans="1:10" ht="14.25" customHeight="1">
      <c r="A434" s="520" t="s">
        <v>776</v>
      </c>
      <c r="B434" s="521" t="s">
        <v>777</v>
      </c>
      <c r="C434" s="520" t="s">
        <v>213</v>
      </c>
      <c r="D434" s="472">
        <v>0.86099999999999999</v>
      </c>
      <c r="E434" s="522">
        <v>0.80300000000000005</v>
      </c>
      <c r="F434" s="523" t="s">
        <v>4166</v>
      </c>
      <c r="G434" s="524" t="s">
        <v>3663</v>
      </c>
      <c r="H434" s="525" t="s">
        <v>3666</v>
      </c>
      <c r="I434" s="474"/>
      <c r="J434" s="475" t="s">
        <v>4594</v>
      </c>
    </row>
    <row r="435" spans="1:10" ht="14.25" customHeight="1">
      <c r="A435" s="520" t="s">
        <v>778</v>
      </c>
      <c r="B435" s="521" t="s">
        <v>779</v>
      </c>
      <c r="C435" s="520" t="s">
        <v>213</v>
      </c>
      <c r="D435" s="472">
        <v>3.7240000000000002</v>
      </c>
      <c r="E435" s="522">
        <v>3.472</v>
      </c>
      <c r="F435" s="523" t="s">
        <v>4166</v>
      </c>
      <c r="G435" s="524" t="s">
        <v>3663</v>
      </c>
      <c r="H435" s="525" t="s">
        <v>3666</v>
      </c>
      <c r="I435" s="474"/>
      <c r="J435" s="475" t="s">
        <v>4595</v>
      </c>
    </row>
    <row r="436" spans="1:10" ht="14.25" customHeight="1">
      <c r="A436" s="520" t="s">
        <v>780</v>
      </c>
      <c r="B436" s="521" t="s">
        <v>781</v>
      </c>
      <c r="C436" s="520" t="s">
        <v>213</v>
      </c>
      <c r="D436" s="472">
        <v>0.88100000000000001</v>
      </c>
      <c r="E436" s="522">
        <v>0.82099999999999995</v>
      </c>
      <c r="F436" s="523" t="s">
        <v>4166</v>
      </c>
      <c r="G436" s="524" t="s">
        <v>3663</v>
      </c>
      <c r="H436" s="525" t="s">
        <v>3666</v>
      </c>
      <c r="I436" s="474"/>
      <c r="J436" s="475" t="s">
        <v>4596</v>
      </c>
    </row>
    <row r="437" spans="1:10" ht="14.25" customHeight="1">
      <c r="A437" s="520" t="s">
        <v>782</v>
      </c>
      <c r="B437" s="521" t="s">
        <v>783</v>
      </c>
      <c r="C437" s="520" t="s">
        <v>213</v>
      </c>
      <c r="D437" s="472">
        <v>0.94099999999999995</v>
      </c>
      <c r="E437" s="522">
        <v>0.877</v>
      </c>
      <c r="F437" s="523" t="s">
        <v>4166</v>
      </c>
      <c r="G437" s="524" t="s">
        <v>3663</v>
      </c>
      <c r="H437" s="525" t="s">
        <v>3666</v>
      </c>
      <c r="I437" s="474"/>
      <c r="J437" s="475" t="s">
        <v>4597</v>
      </c>
    </row>
    <row r="438" spans="1:10" ht="14.25" customHeight="1">
      <c r="A438" s="520" t="s">
        <v>784</v>
      </c>
      <c r="B438" s="521" t="s">
        <v>785</v>
      </c>
      <c r="C438" s="520" t="s">
        <v>213</v>
      </c>
      <c r="D438" s="472">
        <v>1.823</v>
      </c>
      <c r="E438" s="522">
        <v>1.6990000000000001</v>
      </c>
      <c r="F438" s="523" t="s">
        <v>4166</v>
      </c>
      <c r="G438" s="524" t="s">
        <v>3663</v>
      </c>
      <c r="H438" s="525" t="s">
        <v>3666</v>
      </c>
      <c r="I438" s="474"/>
      <c r="J438" s="475" t="s">
        <v>4598</v>
      </c>
    </row>
    <row r="439" spans="1:10" ht="14.25" customHeight="1">
      <c r="A439" s="520" t="s">
        <v>786</v>
      </c>
      <c r="B439" s="521" t="s">
        <v>787</v>
      </c>
      <c r="C439" s="520" t="s">
        <v>213</v>
      </c>
      <c r="D439" s="472">
        <v>0.56699999999999995</v>
      </c>
      <c r="E439" s="522">
        <v>0.53</v>
      </c>
      <c r="F439" s="523" t="s">
        <v>4166</v>
      </c>
      <c r="G439" s="524" t="s">
        <v>3663</v>
      </c>
      <c r="H439" s="525" t="s">
        <v>3666</v>
      </c>
      <c r="I439" s="474"/>
      <c r="J439" s="475" t="s">
        <v>4599</v>
      </c>
    </row>
    <row r="440" spans="1:10" ht="14.25" customHeight="1">
      <c r="A440" s="520" t="s">
        <v>788</v>
      </c>
      <c r="B440" s="521" t="s">
        <v>789</v>
      </c>
      <c r="C440" s="520" t="s">
        <v>213</v>
      </c>
      <c r="D440" s="472">
        <v>0.66600000000000004</v>
      </c>
      <c r="E440" s="522">
        <v>0.62</v>
      </c>
      <c r="F440" s="523" t="s">
        <v>4166</v>
      </c>
      <c r="G440" s="524" t="s">
        <v>3663</v>
      </c>
      <c r="H440" s="525" t="s">
        <v>3666</v>
      </c>
      <c r="I440" s="474"/>
      <c r="J440" s="475" t="s">
        <v>4600</v>
      </c>
    </row>
    <row r="441" spans="1:10" ht="14.25" customHeight="1">
      <c r="A441" s="520" t="s">
        <v>790</v>
      </c>
      <c r="B441" s="521" t="s">
        <v>791</v>
      </c>
      <c r="C441" s="520" t="s">
        <v>213</v>
      </c>
      <c r="D441" s="472">
        <v>1.1930000000000001</v>
      </c>
      <c r="E441" s="522">
        <v>1.1120000000000001</v>
      </c>
      <c r="F441" s="523" t="s">
        <v>4166</v>
      </c>
      <c r="G441" s="524" t="s">
        <v>3663</v>
      </c>
      <c r="H441" s="525" t="s">
        <v>3666</v>
      </c>
      <c r="I441" s="474"/>
      <c r="J441" s="475" t="s">
        <v>4601</v>
      </c>
    </row>
    <row r="442" spans="1:10" ht="14.25" customHeight="1">
      <c r="A442" s="543" t="s">
        <v>792</v>
      </c>
      <c r="B442" s="544" t="s">
        <v>793</v>
      </c>
      <c r="C442" s="543" t="s">
        <v>213</v>
      </c>
      <c r="D442" s="472">
        <v>3.9079999999999999</v>
      </c>
      <c r="E442" s="522">
        <v>3.64</v>
      </c>
      <c r="F442" s="523" t="s">
        <v>4166</v>
      </c>
      <c r="G442" s="524" t="s">
        <v>3663</v>
      </c>
      <c r="H442" s="525" t="s">
        <v>3666</v>
      </c>
      <c r="I442" s="474"/>
      <c r="J442" s="475" t="s">
        <v>4602</v>
      </c>
    </row>
    <row r="443" spans="1:10" ht="14.25" customHeight="1">
      <c r="A443" s="543" t="s">
        <v>794</v>
      </c>
      <c r="B443" s="544" t="s">
        <v>3836</v>
      </c>
      <c r="C443" s="543" t="s">
        <v>213</v>
      </c>
      <c r="D443" s="472">
        <v>0.64800000000000002</v>
      </c>
      <c r="E443" s="522">
        <v>0.60399999999999998</v>
      </c>
      <c r="F443" s="523" t="s">
        <v>4166</v>
      </c>
      <c r="G443" s="526" t="s">
        <v>3668</v>
      </c>
      <c r="H443" s="525" t="s">
        <v>3669</v>
      </c>
      <c r="I443" s="474">
        <v>4016.93</v>
      </c>
      <c r="J443" s="475" t="s">
        <v>4603</v>
      </c>
    </row>
    <row r="444" spans="1:10" ht="14.25" customHeight="1">
      <c r="A444" s="543" t="s">
        <v>795</v>
      </c>
      <c r="B444" s="544" t="s">
        <v>796</v>
      </c>
      <c r="C444" s="543" t="s">
        <v>213</v>
      </c>
      <c r="D444" s="472">
        <v>2.71</v>
      </c>
      <c r="E444" s="522">
        <v>2.8639999999999999</v>
      </c>
      <c r="F444" s="523" t="s">
        <v>4166</v>
      </c>
      <c r="G444" s="524" t="s">
        <v>3663</v>
      </c>
      <c r="H444" s="525" t="s">
        <v>3666</v>
      </c>
      <c r="I444" s="474"/>
      <c r="J444" s="475" t="s">
        <v>4604</v>
      </c>
    </row>
    <row r="445" spans="1:10" ht="14.25" customHeight="1">
      <c r="A445" s="543" t="s">
        <v>797</v>
      </c>
      <c r="B445" s="544" t="s">
        <v>798</v>
      </c>
      <c r="C445" s="520" t="s">
        <v>213</v>
      </c>
      <c r="D445" s="472">
        <v>2.831</v>
      </c>
      <c r="E445" s="522">
        <v>2.8959999999999999</v>
      </c>
      <c r="F445" s="523" t="s">
        <v>4166</v>
      </c>
      <c r="G445" s="526" t="s">
        <v>3668</v>
      </c>
      <c r="H445" s="525" t="s">
        <v>3669</v>
      </c>
      <c r="I445" s="474">
        <v>4016.93</v>
      </c>
      <c r="J445" s="475" t="s">
        <v>4605</v>
      </c>
    </row>
    <row r="446" spans="1:10" ht="14.25" customHeight="1">
      <c r="A446" s="543" t="s">
        <v>799</v>
      </c>
      <c r="B446" s="544" t="s">
        <v>800</v>
      </c>
      <c r="C446" s="543" t="s">
        <v>213</v>
      </c>
      <c r="D446" s="472">
        <v>3.9079999999999999</v>
      </c>
      <c r="E446" s="522">
        <v>3.6429999999999998</v>
      </c>
      <c r="F446" s="523" t="s">
        <v>4166</v>
      </c>
      <c r="G446" s="524" t="s">
        <v>3663</v>
      </c>
      <c r="H446" s="525" t="s">
        <v>3666</v>
      </c>
      <c r="I446" s="474"/>
      <c r="J446" s="475" t="s">
        <v>4606</v>
      </c>
    </row>
    <row r="447" spans="1:10" ht="14.25" customHeight="1">
      <c r="A447" s="543" t="s">
        <v>801</v>
      </c>
      <c r="B447" s="544" t="s">
        <v>802</v>
      </c>
      <c r="C447" s="543" t="s">
        <v>213</v>
      </c>
      <c r="D447" s="472">
        <v>5.2869999999999999</v>
      </c>
      <c r="E447" s="522">
        <v>4.9279999999999999</v>
      </c>
      <c r="F447" s="523" t="s">
        <v>4166</v>
      </c>
      <c r="G447" s="524" t="s">
        <v>3663</v>
      </c>
      <c r="H447" s="525" t="s">
        <v>3666</v>
      </c>
      <c r="I447" s="474"/>
      <c r="J447" s="475" t="s">
        <v>4607</v>
      </c>
    </row>
    <row r="448" spans="1:10" ht="14.25" customHeight="1">
      <c r="A448" s="543" t="s">
        <v>803</v>
      </c>
      <c r="B448" s="544" t="s">
        <v>804</v>
      </c>
      <c r="C448" s="543" t="s">
        <v>213</v>
      </c>
      <c r="D448" s="472">
        <v>5.2869999999999999</v>
      </c>
      <c r="E448" s="522">
        <v>4.9279999999999999</v>
      </c>
      <c r="F448" s="523" t="s">
        <v>4166</v>
      </c>
      <c r="G448" s="524" t="s">
        <v>3663</v>
      </c>
      <c r="H448" s="525" t="s">
        <v>3666</v>
      </c>
      <c r="I448" s="474"/>
      <c r="J448" s="475" t="s">
        <v>4608</v>
      </c>
    </row>
    <row r="449" spans="1:10" ht="14.25" customHeight="1">
      <c r="A449" s="543" t="s">
        <v>805</v>
      </c>
      <c r="B449" s="544" t="s">
        <v>806</v>
      </c>
      <c r="C449" s="543" t="s">
        <v>213</v>
      </c>
      <c r="D449" s="472">
        <v>5.28</v>
      </c>
      <c r="E449" s="522">
        <v>4.9260000000000002</v>
      </c>
      <c r="F449" s="523" t="s">
        <v>4166</v>
      </c>
      <c r="G449" s="524" t="s">
        <v>3663</v>
      </c>
      <c r="H449" s="525" t="s">
        <v>3666</v>
      </c>
      <c r="I449" s="474"/>
      <c r="J449" s="475" t="s">
        <v>4609</v>
      </c>
    </row>
    <row r="450" spans="1:10" ht="14.25" customHeight="1">
      <c r="A450" s="543" t="s">
        <v>807</v>
      </c>
      <c r="B450" s="544" t="s">
        <v>808</v>
      </c>
      <c r="C450" s="543" t="s">
        <v>213</v>
      </c>
      <c r="D450" s="472">
        <v>5.28</v>
      </c>
      <c r="E450" s="522">
        <v>4.9260000000000002</v>
      </c>
      <c r="F450" s="523" t="s">
        <v>4166</v>
      </c>
      <c r="G450" s="524" t="s">
        <v>3663</v>
      </c>
      <c r="H450" s="525" t="s">
        <v>3666</v>
      </c>
      <c r="I450" s="474"/>
      <c r="J450" s="475" t="s">
        <v>4610</v>
      </c>
    </row>
    <row r="451" spans="1:10" ht="14.25" customHeight="1">
      <c r="A451" s="543" t="s">
        <v>809</v>
      </c>
      <c r="B451" s="544" t="s">
        <v>810</v>
      </c>
      <c r="C451" s="543" t="s">
        <v>213</v>
      </c>
      <c r="D451" s="472">
        <v>2.335</v>
      </c>
      <c r="E451" s="522">
        <v>2.177</v>
      </c>
      <c r="F451" s="523" t="s">
        <v>4166</v>
      </c>
      <c r="G451" s="524" t="s">
        <v>3663</v>
      </c>
      <c r="H451" s="525" t="s">
        <v>3666</v>
      </c>
      <c r="I451" s="474"/>
      <c r="J451" s="475" t="s">
        <v>4611</v>
      </c>
    </row>
    <row r="452" spans="1:10" ht="14.25" customHeight="1">
      <c r="A452" s="543" t="s">
        <v>811</v>
      </c>
      <c r="B452" s="544" t="s">
        <v>812</v>
      </c>
      <c r="C452" s="543" t="s">
        <v>213</v>
      </c>
      <c r="D452" s="472">
        <v>5.4630000000000001</v>
      </c>
      <c r="E452" s="522">
        <v>5.0940000000000003</v>
      </c>
      <c r="F452" s="523" t="s">
        <v>4166</v>
      </c>
      <c r="G452" s="524" t="s">
        <v>3663</v>
      </c>
      <c r="H452" s="525" t="s">
        <v>3666</v>
      </c>
      <c r="I452" s="474"/>
      <c r="J452" s="475" t="s">
        <v>4612</v>
      </c>
    </row>
    <row r="453" spans="1:10" ht="14.25" customHeight="1">
      <c r="A453" s="543" t="s">
        <v>813</v>
      </c>
      <c r="B453" s="544" t="s">
        <v>814</v>
      </c>
      <c r="C453" s="543" t="s">
        <v>213</v>
      </c>
      <c r="D453" s="472">
        <v>9.8219999999999992</v>
      </c>
      <c r="E453" s="522">
        <v>9.1560000000000006</v>
      </c>
      <c r="F453" s="523" t="s">
        <v>4166</v>
      </c>
      <c r="G453" s="524" t="s">
        <v>3663</v>
      </c>
      <c r="H453" s="525" t="s">
        <v>3666</v>
      </c>
      <c r="I453" s="474"/>
      <c r="J453" s="475" t="s">
        <v>4613</v>
      </c>
    </row>
    <row r="454" spans="1:10" ht="14.25" customHeight="1">
      <c r="A454" s="543" t="s">
        <v>815</v>
      </c>
      <c r="B454" s="544" t="s">
        <v>816</v>
      </c>
      <c r="C454" s="543" t="s">
        <v>213</v>
      </c>
      <c r="D454" s="472">
        <v>4.7439999999999998</v>
      </c>
      <c r="E454" s="522">
        <v>4.4219999999999997</v>
      </c>
      <c r="F454" s="523" t="s">
        <v>4166</v>
      </c>
      <c r="G454" s="524" t="s">
        <v>3663</v>
      </c>
      <c r="H454" s="525" t="s">
        <v>3666</v>
      </c>
      <c r="I454" s="474"/>
      <c r="J454" s="475" t="s">
        <v>4614</v>
      </c>
    </row>
    <row r="455" spans="1:10" ht="14.25" customHeight="1">
      <c r="A455" s="543" t="s">
        <v>817</v>
      </c>
      <c r="B455" s="544" t="s">
        <v>818</v>
      </c>
      <c r="C455" s="543" t="s">
        <v>213</v>
      </c>
      <c r="D455" s="472">
        <v>2.8490000000000002</v>
      </c>
      <c r="E455" s="522">
        <v>2.6560000000000001</v>
      </c>
      <c r="F455" s="523" t="s">
        <v>4166</v>
      </c>
      <c r="G455" s="524" t="s">
        <v>3663</v>
      </c>
      <c r="H455" s="525" t="s">
        <v>3666</v>
      </c>
      <c r="I455" s="474"/>
      <c r="J455" s="475" t="s">
        <v>4615</v>
      </c>
    </row>
    <row r="456" spans="1:10" ht="14.25" customHeight="1">
      <c r="A456" s="543" t="s">
        <v>819</v>
      </c>
      <c r="B456" s="544" t="s">
        <v>820</v>
      </c>
      <c r="C456" s="543" t="s">
        <v>213</v>
      </c>
      <c r="D456" s="472">
        <v>1.728</v>
      </c>
      <c r="E456" s="522">
        <v>1.6120000000000001</v>
      </c>
      <c r="F456" s="523" t="s">
        <v>4166</v>
      </c>
      <c r="G456" s="524" t="s">
        <v>3663</v>
      </c>
      <c r="H456" s="525" t="s">
        <v>3666</v>
      </c>
      <c r="I456" s="474"/>
      <c r="J456" s="475" t="s">
        <v>4616</v>
      </c>
    </row>
    <row r="457" spans="1:10" ht="14.25" customHeight="1">
      <c r="A457" s="543" t="s">
        <v>821</v>
      </c>
      <c r="B457" s="544" t="s">
        <v>822</v>
      </c>
      <c r="C457" s="543" t="s">
        <v>213</v>
      </c>
      <c r="D457" s="472">
        <v>2.5270000000000001</v>
      </c>
      <c r="E457" s="522">
        <v>2.6579999999999999</v>
      </c>
      <c r="F457" s="523" t="s">
        <v>4166</v>
      </c>
      <c r="G457" s="524" t="s">
        <v>3663</v>
      </c>
      <c r="H457" s="525" t="s">
        <v>3666</v>
      </c>
      <c r="I457" s="474"/>
      <c r="J457" s="475" t="s">
        <v>4617</v>
      </c>
    </row>
    <row r="458" spans="1:10" ht="14.25" customHeight="1">
      <c r="A458" s="520" t="s">
        <v>823</v>
      </c>
      <c r="B458" s="521" t="s">
        <v>824</v>
      </c>
      <c r="C458" s="520" t="s">
        <v>213</v>
      </c>
      <c r="D458" s="472">
        <v>2.161</v>
      </c>
      <c r="E458" s="522">
        <v>1.992</v>
      </c>
      <c r="F458" s="523" t="s">
        <v>4166</v>
      </c>
      <c r="G458" s="524" t="s">
        <v>3663</v>
      </c>
      <c r="H458" s="525" t="s">
        <v>3666</v>
      </c>
      <c r="I458" s="474"/>
      <c r="J458" s="475" t="s">
        <v>4618</v>
      </c>
    </row>
    <row r="459" spans="1:10" ht="14.25" customHeight="1">
      <c r="A459" s="520" t="s">
        <v>825</v>
      </c>
      <c r="B459" s="521" t="s">
        <v>826</v>
      </c>
      <c r="C459" s="520" t="s">
        <v>213</v>
      </c>
      <c r="D459" s="472">
        <v>3.7650000000000001</v>
      </c>
      <c r="E459" s="522">
        <v>3.8530000000000002</v>
      </c>
      <c r="F459" s="523" t="s">
        <v>4166</v>
      </c>
      <c r="G459" s="524" t="s">
        <v>3663</v>
      </c>
      <c r="H459" s="525" t="s">
        <v>3666</v>
      </c>
      <c r="I459" s="474"/>
      <c r="J459" s="475" t="s">
        <v>4619</v>
      </c>
    </row>
    <row r="460" spans="1:10" ht="14.25" customHeight="1">
      <c r="A460" s="520" t="s">
        <v>827</v>
      </c>
      <c r="B460" s="521" t="s">
        <v>828</v>
      </c>
      <c r="C460" s="520" t="s">
        <v>213</v>
      </c>
      <c r="D460" s="472">
        <v>6.3639999999999999</v>
      </c>
      <c r="E460" s="522">
        <v>6.5119999999999996</v>
      </c>
      <c r="F460" s="523" t="s">
        <v>4166</v>
      </c>
      <c r="G460" s="526" t="s">
        <v>3668</v>
      </c>
      <c r="H460" s="525" t="s">
        <v>3666</v>
      </c>
      <c r="I460" s="474"/>
      <c r="J460" s="475" t="s">
        <v>4620</v>
      </c>
    </row>
    <row r="461" spans="1:10" ht="15.75" customHeight="1">
      <c r="A461" s="520" t="s">
        <v>829</v>
      </c>
      <c r="B461" s="521" t="s">
        <v>830</v>
      </c>
      <c r="C461" s="520" t="s">
        <v>213</v>
      </c>
      <c r="D461" s="472">
        <v>4.343</v>
      </c>
      <c r="E461" s="522">
        <v>4.0490000000000004</v>
      </c>
      <c r="F461" s="523" t="s">
        <v>4166</v>
      </c>
      <c r="G461" s="524" t="s">
        <v>3663</v>
      </c>
      <c r="H461" s="525" t="s">
        <v>3666</v>
      </c>
      <c r="I461" s="474"/>
      <c r="J461" s="475" t="s">
        <v>4621</v>
      </c>
    </row>
    <row r="462" spans="1:10" ht="14.25" customHeight="1">
      <c r="A462" s="520" t="s">
        <v>831</v>
      </c>
      <c r="B462" s="521" t="s">
        <v>4622</v>
      </c>
      <c r="C462" s="520" t="s">
        <v>213</v>
      </c>
      <c r="D462" s="472">
        <v>0.81</v>
      </c>
      <c r="E462" s="522">
        <v>0.755</v>
      </c>
      <c r="F462" s="523">
        <v>0.46799999999999997</v>
      </c>
      <c r="G462" s="526" t="s">
        <v>3668</v>
      </c>
      <c r="H462" s="525" t="s">
        <v>3669</v>
      </c>
      <c r="I462" s="474">
        <v>4016.93</v>
      </c>
      <c r="J462" s="475" t="s">
        <v>4623</v>
      </c>
    </row>
    <row r="463" spans="1:10" ht="14.25" customHeight="1">
      <c r="A463" s="520" t="s">
        <v>832</v>
      </c>
      <c r="B463" s="521" t="s">
        <v>833</v>
      </c>
      <c r="C463" s="520" t="s">
        <v>213</v>
      </c>
      <c r="D463" s="472">
        <v>3.0110000000000001</v>
      </c>
      <c r="E463" s="522">
        <v>2.8069999999999999</v>
      </c>
      <c r="F463" s="523">
        <v>1.7399999999999998</v>
      </c>
      <c r="G463" s="524" t="s">
        <v>3663</v>
      </c>
      <c r="H463" s="525" t="s">
        <v>3666</v>
      </c>
      <c r="I463" s="474"/>
      <c r="J463" s="475" t="s">
        <v>4624</v>
      </c>
    </row>
    <row r="464" spans="1:10" ht="14.25" customHeight="1">
      <c r="A464" s="520" t="s">
        <v>834</v>
      </c>
      <c r="B464" s="521" t="s">
        <v>835</v>
      </c>
      <c r="C464" s="520" t="s">
        <v>213</v>
      </c>
      <c r="D464" s="472">
        <v>1.7430000000000001</v>
      </c>
      <c r="E464" s="522">
        <v>1.6240000000000001</v>
      </c>
      <c r="F464" s="523" t="s">
        <v>4166</v>
      </c>
      <c r="G464" s="526" t="s">
        <v>3668</v>
      </c>
      <c r="H464" s="525" t="s">
        <v>3669</v>
      </c>
      <c r="I464" s="474">
        <v>4016.93</v>
      </c>
      <c r="J464" s="475" t="s">
        <v>4625</v>
      </c>
    </row>
    <row r="465" spans="1:10" ht="14.25" customHeight="1">
      <c r="A465" s="520" t="s">
        <v>836</v>
      </c>
      <c r="B465" s="521" t="s">
        <v>4626</v>
      </c>
      <c r="C465" s="520" t="s">
        <v>213</v>
      </c>
      <c r="D465" s="472">
        <v>2.597</v>
      </c>
      <c r="E465" s="522">
        <v>2.6579999999999999</v>
      </c>
      <c r="F465" s="523" t="s">
        <v>4166</v>
      </c>
      <c r="G465" s="526" t="s">
        <v>3668</v>
      </c>
      <c r="H465" s="525" t="s">
        <v>3669</v>
      </c>
      <c r="I465" s="474">
        <v>4016.93</v>
      </c>
      <c r="J465" s="475" t="s">
        <v>4627</v>
      </c>
    </row>
    <row r="466" spans="1:10" ht="14.25" customHeight="1">
      <c r="A466" s="520" t="s">
        <v>837</v>
      </c>
      <c r="B466" s="521" t="s">
        <v>838</v>
      </c>
      <c r="C466" s="520" t="s">
        <v>213</v>
      </c>
      <c r="D466" s="472">
        <v>3.5089999999999999</v>
      </c>
      <c r="E466" s="522">
        <v>3.59</v>
      </c>
      <c r="F466" s="523" t="s">
        <v>4166</v>
      </c>
      <c r="G466" s="526" t="s">
        <v>3668</v>
      </c>
      <c r="H466" s="525" t="s">
        <v>3669</v>
      </c>
      <c r="I466" s="474">
        <v>4016.93</v>
      </c>
      <c r="J466" s="475" t="s">
        <v>4628</v>
      </c>
    </row>
    <row r="467" spans="1:10" ht="14.25" customHeight="1">
      <c r="A467" s="520" t="s">
        <v>839</v>
      </c>
      <c r="B467" s="521" t="s">
        <v>840</v>
      </c>
      <c r="C467" s="520" t="s">
        <v>213</v>
      </c>
      <c r="D467" s="472">
        <v>5.8739999999999997</v>
      </c>
      <c r="E467" s="522">
        <v>5.476</v>
      </c>
      <c r="F467" s="523" t="s">
        <v>4166</v>
      </c>
      <c r="G467" s="524" t="s">
        <v>3663</v>
      </c>
      <c r="H467" s="525" t="s">
        <v>3666</v>
      </c>
      <c r="I467" s="474"/>
      <c r="J467" s="475" t="s">
        <v>4629</v>
      </c>
    </row>
    <row r="468" spans="1:10" ht="14.25" customHeight="1">
      <c r="A468" s="520" t="s">
        <v>841</v>
      </c>
      <c r="B468" s="521" t="s">
        <v>842</v>
      </c>
      <c r="C468" s="520" t="s">
        <v>213</v>
      </c>
      <c r="D468" s="472">
        <v>5.88</v>
      </c>
      <c r="E468" s="522">
        <v>5.476</v>
      </c>
      <c r="F468" s="523" t="s">
        <v>4166</v>
      </c>
      <c r="G468" s="524" t="s">
        <v>3663</v>
      </c>
      <c r="H468" s="525" t="s">
        <v>3666</v>
      </c>
      <c r="I468" s="474"/>
      <c r="J468" s="475" t="s">
        <v>4630</v>
      </c>
    </row>
    <row r="469" spans="1:10" ht="14.25" customHeight="1">
      <c r="A469" s="520" t="s">
        <v>843</v>
      </c>
      <c r="B469" s="521" t="s">
        <v>844</v>
      </c>
      <c r="C469" s="520" t="s">
        <v>213</v>
      </c>
      <c r="D469" s="472">
        <v>2.4009999999999998</v>
      </c>
      <c r="E469" s="522">
        <v>2.2130000000000001</v>
      </c>
      <c r="F469" s="523">
        <v>1.3725000000000001</v>
      </c>
      <c r="G469" s="524" t="s">
        <v>3663</v>
      </c>
      <c r="H469" s="525" t="s">
        <v>3666</v>
      </c>
      <c r="I469" s="474"/>
      <c r="J469" s="475" t="s">
        <v>4631</v>
      </c>
    </row>
    <row r="470" spans="1:10" ht="14.25" customHeight="1">
      <c r="A470" s="520" t="s">
        <v>845</v>
      </c>
      <c r="B470" s="521" t="s">
        <v>846</v>
      </c>
      <c r="C470" s="520" t="s">
        <v>213</v>
      </c>
      <c r="D470" s="472">
        <v>6.0720000000000001</v>
      </c>
      <c r="E470" s="522">
        <v>5.6529999999999996</v>
      </c>
      <c r="F470" s="523" t="s">
        <v>4166</v>
      </c>
      <c r="G470" s="524" t="s">
        <v>3663</v>
      </c>
      <c r="H470" s="525" t="s">
        <v>3666</v>
      </c>
      <c r="I470" s="474"/>
      <c r="J470" s="475" t="s">
        <v>4632</v>
      </c>
    </row>
    <row r="471" spans="1:10" ht="14.25" customHeight="1">
      <c r="A471" s="520" t="s">
        <v>3161</v>
      </c>
      <c r="B471" s="521" t="s">
        <v>3162</v>
      </c>
      <c r="C471" s="520" t="s">
        <v>213</v>
      </c>
      <c r="D471" s="472">
        <v>0</v>
      </c>
      <c r="E471" s="522">
        <v>0</v>
      </c>
      <c r="F471" s="523" t="s">
        <v>4166</v>
      </c>
      <c r="G471" s="524" t="s">
        <v>3663</v>
      </c>
      <c r="H471" s="525" t="s">
        <v>3666</v>
      </c>
      <c r="I471" s="474"/>
      <c r="J471" s="475" t="s">
        <v>4633</v>
      </c>
    </row>
    <row r="472" spans="1:10" ht="14.25" customHeight="1">
      <c r="A472" s="520" t="s">
        <v>847</v>
      </c>
      <c r="B472" s="521" t="s">
        <v>848</v>
      </c>
      <c r="C472" s="520" t="s">
        <v>213</v>
      </c>
      <c r="D472" s="472">
        <v>2.5960000000000001</v>
      </c>
      <c r="E472" s="522">
        <v>2.419</v>
      </c>
      <c r="F472" s="523" t="s">
        <v>4166</v>
      </c>
      <c r="G472" s="524" t="s">
        <v>3663</v>
      </c>
      <c r="H472" s="525" t="s">
        <v>3666</v>
      </c>
      <c r="I472" s="474"/>
      <c r="J472" s="475" t="s">
        <v>4634</v>
      </c>
    </row>
    <row r="473" spans="1:10" ht="14.25" customHeight="1">
      <c r="A473" s="520" t="s">
        <v>849</v>
      </c>
      <c r="B473" s="521" t="s">
        <v>850</v>
      </c>
      <c r="C473" s="520" t="s">
        <v>213</v>
      </c>
      <c r="D473" s="472">
        <v>4.343</v>
      </c>
      <c r="E473" s="522">
        <v>4.0490000000000004</v>
      </c>
      <c r="F473" s="523" t="s">
        <v>4166</v>
      </c>
      <c r="G473" s="524" t="s">
        <v>3663</v>
      </c>
      <c r="H473" s="525" t="s">
        <v>3666</v>
      </c>
      <c r="I473" s="474"/>
      <c r="J473" s="475" t="s">
        <v>4635</v>
      </c>
    </row>
    <row r="474" spans="1:10" ht="14.25" customHeight="1">
      <c r="A474" s="520" t="s">
        <v>851</v>
      </c>
      <c r="B474" s="521" t="s">
        <v>852</v>
      </c>
      <c r="C474" s="520" t="s">
        <v>213</v>
      </c>
      <c r="D474" s="472">
        <v>5.8739999999999997</v>
      </c>
      <c r="E474" s="522">
        <v>5.476</v>
      </c>
      <c r="F474" s="523" t="s">
        <v>4166</v>
      </c>
      <c r="G474" s="524" t="s">
        <v>3663</v>
      </c>
      <c r="H474" s="525" t="s">
        <v>3666</v>
      </c>
      <c r="I474" s="474"/>
      <c r="J474" s="475" t="s">
        <v>4636</v>
      </c>
    </row>
    <row r="475" spans="1:10" ht="14.25" customHeight="1">
      <c r="A475" s="520" t="s">
        <v>853</v>
      </c>
      <c r="B475" s="521" t="s">
        <v>854</v>
      </c>
      <c r="C475" s="520" t="s">
        <v>213</v>
      </c>
      <c r="D475" s="472">
        <v>10.914</v>
      </c>
      <c r="E475" s="522">
        <v>10.173</v>
      </c>
      <c r="F475" s="523" t="s">
        <v>4166</v>
      </c>
      <c r="G475" s="524" t="s">
        <v>3663</v>
      </c>
      <c r="H475" s="525" t="s">
        <v>3666</v>
      </c>
      <c r="I475" s="474"/>
      <c r="J475" s="475" t="s">
        <v>4637</v>
      </c>
    </row>
    <row r="476" spans="1:10" ht="14.25" customHeight="1">
      <c r="A476" s="520" t="s">
        <v>855</v>
      </c>
      <c r="B476" s="521" t="s">
        <v>856</v>
      </c>
      <c r="C476" s="520" t="s">
        <v>213</v>
      </c>
      <c r="D476" s="472">
        <v>10.914</v>
      </c>
      <c r="E476" s="522">
        <v>10.173</v>
      </c>
      <c r="F476" s="523" t="s">
        <v>4166</v>
      </c>
      <c r="G476" s="524" t="s">
        <v>3663</v>
      </c>
      <c r="H476" s="525" t="s">
        <v>3666</v>
      </c>
      <c r="I476" s="474"/>
      <c r="J476" s="475" t="s">
        <v>4638</v>
      </c>
    </row>
    <row r="477" spans="1:10" ht="14.25" customHeight="1">
      <c r="A477" s="520" t="s">
        <v>857</v>
      </c>
      <c r="B477" s="521" t="s">
        <v>858</v>
      </c>
      <c r="C477" s="520" t="s">
        <v>213</v>
      </c>
      <c r="D477" s="472">
        <v>5.2709999999999999</v>
      </c>
      <c r="E477" s="522">
        <v>4.9130000000000003</v>
      </c>
      <c r="F477" s="523" t="s">
        <v>4166</v>
      </c>
      <c r="G477" s="524" t="s">
        <v>3663</v>
      </c>
      <c r="H477" s="525" t="s">
        <v>3666</v>
      </c>
      <c r="I477" s="474"/>
      <c r="J477" s="475" t="s">
        <v>4639</v>
      </c>
    </row>
    <row r="478" spans="1:10" ht="14.25" customHeight="1">
      <c r="A478" s="520" t="s">
        <v>859</v>
      </c>
      <c r="B478" s="521" t="s">
        <v>860</v>
      </c>
      <c r="C478" s="520" t="s">
        <v>213</v>
      </c>
      <c r="D478" s="472">
        <v>3.1659999999999999</v>
      </c>
      <c r="E478" s="522">
        <v>2.95</v>
      </c>
      <c r="F478" s="523" t="s">
        <v>4166</v>
      </c>
      <c r="G478" s="524" t="s">
        <v>3663</v>
      </c>
      <c r="H478" s="525" t="s">
        <v>3666</v>
      </c>
      <c r="I478" s="474"/>
      <c r="J478" s="475" t="s">
        <v>4640</v>
      </c>
    </row>
    <row r="479" spans="1:10" ht="14.25" customHeight="1">
      <c r="A479" s="520" t="s">
        <v>861</v>
      </c>
      <c r="B479" s="521" t="s">
        <v>862</v>
      </c>
      <c r="C479" s="520" t="s">
        <v>213</v>
      </c>
      <c r="D479" s="472">
        <v>1.92</v>
      </c>
      <c r="E479" s="522">
        <v>1.79</v>
      </c>
      <c r="F479" s="523" t="s">
        <v>4166</v>
      </c>
      <c r="G479" s="524" t="s">
        <v>3663</v>
      </c>
      <c r="H479" s="525" t="s">
        <v>3666</v>
      </c>
      <c r="I479" s="474"/>
      <c r="J479" s="475" t="s">
        <v>4641</v>
      </c>
    </row>
    <row r="480" spans="1:10" ht="14.25" customHeight="1">
      <c r="A480" s="520" t="s">
        <v>863</v>
      </c>
      <c r="B480" s="521" t="s">
        <v>864</v>
      </c>
      <c r="C480" s="520" t="s">
        <v>213</v>
      </c>
      <c r="D480" s="472">
        <v>2.8069999999999999</v>
      </c>
      <c r="E480" s="522">
        <v>2.625</v>
      </c>
      <c r="F480" s="523" t="s">
        <v>4166</v>
      </c>
      <c r="G480" s="524" t="s">
        <v>3663</v>
      </c>
      <c r="H480" s="525" t="s">
        <v>3666</v>
      </c>
      <c r="I480" s="474"/>
      <c r="J480" s="475" t="s">
        <v>4642</v>
      </c>
    </row>
    <row r="481" spans="1:22" ht="14.25" customHeight="1">
      <c r="A481" s="520" t="s">
        <v>865</v>
      </c>
      <c r="B481" s="521" t="s">
        <v>4643</v>
      </c>
      <c r="C481" s="520" t="s">
        <v>213</v>
      </c>
      <c r="D481" s="472">
        <v>10.914</v>
      </c>
      <c r="E481" s="522">
        <v>10.173</v>
      </c>
      <c r="F481" s="523" t="s">
        <v>4166</v>
      </c>
      <c r="G481" s="524" t="s">
        <v>3663</v>
      </c>
      <c r="H481" s="525" t="s">
        <v>3666</v>
      </c>
      <c r="I481" s="474"/>
      <c r="J481" s="475" t="s">
        <v>4644</v>
      </c>
    </row>
    <row r="482" spans="1:22" ht="14.25" customHeight="1">
      <c r="A482" s="545" t="s">
        <v>3163</v>
      </c>
      <c r="B482" s="546" t="s">
        <v>3164</v>
      </c>
      <c r="C482" s="545" t="s">
        <v>213</v>
      </c>
      <c r="D482" s="472">
        <v>27.207000000000001</v>
      </c>
      <c r="E482" s="522">
        <v>30.042999999999999</v>
      </c>
      <c r="F482" s="523" t="s">
        <v>4166</v>
      </c>
      <c r="G482" s="524" t="s">
        <v>3663</v>
      </c>
      <c r="H482" s="525" t="s">
        <v>3666</v>
      </c>
      <c r="I482" s="474"/>
      <c r="J482" s="475" t="s">
        <v>4645</v>
      </c>
    </row>
    <row r="483" spans="1:22" ht="14.25" customHeight="1">
      <c r="A483" s="543" t="s">
        <v>866</v>
      </c>
      <c r="B483" s="544" t="s">
        <v>867</v>
      </c>
      <c r="C483" s="520" t="s">
        <v>213</v>
      </c>
      <c r="D483" s="472">
        <v>8.8309999999999995</v>
      </c>
      <c r="E483" s="522">
        <v>8.4030000000000005</v>
      </c>
      <c r="F483" s="523" t="s">
        <v>4166</v>
      </c>
      <c r="G483" s="524" t="s">
        <v>3663</v>
      </c>
      <c r="H483" s="525" t="s">
        <v>3666</v>
      </c>
      <c r="I483" s="474"/>
      <c r="J483" s="475" t="s">
        <v>4646</v>
      </c>
    </row>
    <row r="484" spans="1:22" ht="15.75" customHeight="1">
      <c r="A484" s="543" t="s">
        <v>868</v>
      </c>
      <c r="B484" s="544" t="s">
        <v>869</v>
      </c>
      <c r="C484" s="543" t="s">
        <v>213</v>
      </c>
      <c r="D484" s="472">
        <v>4.0140000000000002</v>
      </c>
      <c r="E484" s="522">
        <v>3.819</v>
      </c>
      <c r="F484" s="523" t="s">
        <v>4166</v>
      </c>
      <c r="G484" s="524" t="s">
        <v>3663</v>
      </c>
      <c r="H484" s="525" t="s">
        <v>3666</v>
      </c>
      <c r="I484" s="474"/>
      <c r="J484" s="475" t="s">
        <v>4647</v>
      </c>
      <c r="K484" s="471"/>
      <c r="L484" s="471"/>
      <c r="M484" s="471"/>
      <c r="N484" s="471"/>
      <c r="O484" s="471"/>
      <c r="P484" s="471"/>
      <c r="Q484" s="471"/>
      <c r="R484" s="471"/>
      <c r="S484" s="471"/>
      <c r="T484" s="471"/>
      <c r="U484" s="471"/>
      <c r="V484" s="471"/>
    </row>
    <row r="485" spans="1:22" ht="15.75" customHeight="1">
      <c r="A485" s="543" t="s">
        <v>870</v>
      </c>
      <c r="B485" s="544" t="s">
        <v>871</v>
      </c>
      <c r="C485" s="543" t="s">
        <v>213</v>
      </c>
      <c r="D485" s="472">
        <v>3.524</v>
      </c>
      <c r="E485" s="522">
        <v>3.3530000000000002</v>
      </c>
      <c r="F485" s="523" t="s">
        <v>4166</v>
      </c>
      <c r="G485" s="524" t="s">
        <v>3663</v>
      </c>
      <c r="H485" s="525" t="s">
        <v>3666</v>
      </c>
      <c r="I485" s="474"/>
      <c r="J485" s="475" t="s">
        <v>4648</v>
      </c>
      <c r="K485" s="471"/>
      <c r="L485" s="471"/>
      <c r="M485" s="471"/>
      <c r="N485" s="471"/>
      <c r="O485" s="471"/>
      <c r="P485" s="471"/>
      <c r="Q485" s="471"/>
      <c r="R485" s="471"/>
      <c r="S485" s="471"/>
      <c r="T485" s="471"/>
      <c r="U485" s="471"/>
      <c r="V485" s="471"/>
    </row>
    <row r="486" spans="1:22" ht="15.75" customHeight="1">
      <c r="A486" s="543" t="s">
        <v>872</v>
      </c>
      <c r="B486" s="544" t="s">
        <v>873</v>
      </c>
      <c r="C486" s="543" t="s">
        <v>213</v>
      </c>
      <c r="D486" s="472">
        <v>0.56100000000000005</v>
      </c>
      <c r="E486" s="522">
        <v>0.53300000000000003</v>
      </c>
      <c r="F486" s="523" t="s">
        <v>4166</v>
      </c>
      <c r="G486" s="524" t="s">
        <v>3663</v>
      </c>
      <c r="H486" s="525" t="s">
        <v>3666</v>
      </c>
      <c r="I486" s="474"/>
      <c r="J486" s="475" t="s">
        <v>4649</v>
      </c>
      <c r="K486" s="471"/>
      <c r="L486" s="471"/>
      <c r="M486" s="471"/>
      <c r="N486" s="471"/>
      <c r="O486" s="471"/>
      <c r="P486" s="471"/>
      <c r="Q486" s="471"/>
      <c r="R486" s="471"/>
      <c r="S486" s="471"/>
      <c r="T486" s="471"/>
      <c r="U486" s="471"/>
      <c r="V486" s="471"/>
    </row>
    <row r="487" spans="1:22" ht="15.75" customHeight="1">
      <c r="A487" s="543" t="s">
        <v>874</v>
      </c>
      <c r="B487" s="544" t="s">
        <v>875</v>
      </c>
      <c r="C487" s="543" t="s">
        <v>213</v>
      </c>
      <c r="D487" s="472">
        <v>0.41499999999999998</v>
      </c>
      <c r="E487" s="522">
        <v>0.629</v>
      </c>
      <c r="F487" s="523" t="s">
        <v>4166</v>
      </c>
      <c r="G487" s="524"/>
      <c r="H487" s="525" t="s">
        <v>3666</v>
      </c>
      <c r="I487" s="474"/>
      <c r="J487" s="475" t="s">
        <v>4650</v>
      </c>
      <c r="K487" s="471"/>
      <c r="L487" s="471"/>
      <c r="M487" s="471"/>
      <c r="N487" s="471"/>
      <c r="O487" s="471"/>
      <c r="P487" s="471"/>
      <c r="Q487" s="471"/>
      <c r="R487" s="471"/>
      <c r="S487" s="471"/>
      <c r="T487" s="471"/>
      <c r="U487" s="471"/>
      <c r="V487" s="471"/>
    </row>
    <row r="488" spans="1:22" ht="15.75" customHeight="1">
      <c r="A488" s="545" t="s">
        <v>3165</v>
      </c>
      <c r="B488" s="546" t="s">
        <v>3166</v>
      </c>
      <c r="C488" s="545" t="s">
        <v>213</v>
      </c>
      <c r="D488" s="472">
        <v>0</v>
      </c>
      <c r="E488" s="522">
        <v>0</v>
      </c>
      <c r="F488" s="523" t="s">
        <v>4166</v>
      </c>
      <c r="G488" s="526" t="s">
        <v>3668</v>
      </c>
      <c r="H488" s="525" t="s">
        <v>3678</v>
      </c>
      <c r="I488" s="474"/>
      <c r="J488" s="475" t="s">
        <v>4651</v>
      </c>
      <c r="K488" s="471"/>
      <c r="L488" s="471"/>
      <c r="M488" s="471"/>
      <c r="N488" s="471"/>
      <c r="O488" s="471"/>
      <c r="P488" s="471"/>
      <c r="Q488" s="471"/>
      <c r="R488" s="471"/>
      <c r="S488" s="471"/>
      <c r="T488" s="471"/>
      <c r="U488" s="471"/>
      <c r="V488" s="471"/>
    </row>
    <row r="489" spans="1:22" ht="15.75" customHeight="1">
      <c r="A489" s="545" t="s">
        <v>3167</v>
      </c>
      <c r="B489" s="546" t="s">
        <v>3168</v>
      </c>
      <c r="C489" s="545" t="s">
        <v>213</v>
      </c>
      <c r="D489" s="472">
        <v>0</v>
      </c>
      <c r="E489" s="522">
        <v>0</v>
      </c>
      <c r="F489" s="523" t="s">
        <v>4166</v>
      </c>
      <c r="G489" s="526" t="s">
        <v>3668</v>
      </c>
      <c r="H489" s="525" t="s">
        <v>3678</v>
      </c>
      <c r="I489" s="474"/>
      <c r="J489" s="475" t="s">
        <v>4652</v>
      </c>
      <c r="K489" s="471"/>
      <c r="L489" s="471"/>
      <c r="M489" s="471"/>
      <c r="N489" s="471"/>
      <c r="O489" s="471"/>
      <c r="P489" s="471"/>
      <c r="Q489" s="471"/>
      <c r="R489" s="471"/>
      <c r="S489" s="471"/>
      <c r="T489" s="471"/>
      <c r="U489" s="471"/>
      <c r="V489" s="471"/>
    </row>
    <row r="490" spans="1:22" ht="15.75" customHeight="1">
      <c r="A490" s="543" t="s">
        <v>876</v>
      </c>
      <c r="B490" s="544" t="s">
        <v>3837</v>
      </c>
      <c r="C490" s="543" t="s">
        <v>213</v>
      </c>
      <c r="D490" s="472">
        <v>1.972</v>
      </c>
      <c r="E490" s="522">
        <v>3.532</v>
      </c>
      <c r="F490" s="523" t="s">
        <v>4166</v>
      </c>
      <c r="G490" s="526" t="s">
        <v>3668</v>
      </c>
      <c r="H490" s="525" t="s">
        <v>3669</v>
      </c>
      <c r="I490" s="474">
        <v>4016.93</v>
      </c>
      <c r="J490" s="475" t="s">
        <v>4653</v>
      </c>
      <c r="K490" s="471"/>
      <c r="L490" s="471"/>
      <c r="M490" s="471"/>
      <c r="N490" s="471"/>
      <c r="O490" s="471"/>
      <c r="P490" s="471"/>
      <c r="Q490" s="471"/>
      <c r="R490" s="471"/>
      <c r="S490" s="471"/>
      <c r="T490" s="471"/>
      <c r="U490" s="471"/>
      <c r="V490" s="471"/>
    </row>
    <row r="491" spans="1:22" ht="15.75" customHeight="1">
      <c r="A491" s="543" t="s">
        <v>877</v>
      </c>
      <c r="B491" s="544" t="s">
        <v>3838</v>
      </c>
      <c r="C491" s="543" t="s">
        <v>213</v>
      </c>
      <c r="D491" s="472">
        <v>2.1680000000000001</v>
      </c>
      <c r="E491" s="522">
        <v>4.1779999999999999</v>
      </c>
      <c r="F491" s="523" t="s">
        <v>4166</v>
      </c>
      <c r="G491" s="526" t="s">
        <v>3668</v>
      </c>
      <c r="H491" s="525" t="s">
        <v>3669</v>
      </c>
      <c r="I491" s="474">
        <v>4016.93</v>
      </c>
      <c r="J491" s="475" t="s">
        <v>4654</v>
      </c>
      <c r="K491" s="471"/>
      <c r="L491" s="471"/>
      <c r="M491" s="471"/>
      <c r="N491" s="471"/>
      <c r="O491" s="471"/>
      <c r="P491" s="471"/>
      <c r="Q491" s="471"/>
      <c r="R491" s="471"/>
      <c r="S491" s="471"/>
      <c r="T491" s="471"/>
      <c r="U491" s="471"/>
      <c r="V491" s="471"/>
    </row>
    <row r="492" spans="1:22" ht="15.75" customHeight="1">
      <c r="A492" s="543" t="s">
        <v>878</v>
      </c>
      <c r="B492" s="544" t="s">
        <v>879</v>
      </c>
      <c r="C492" s="543" t="s">
        <v>213</v>
      </c>
      <c r="D492" s="472">
        <v>1.9339999999999999</v>
      </c>
      <c r="E492" s="522">
        <v>1.9790000000000001</v>
      </c>
      <c r="F492" s="523" t="s">
        <v>4166</v>
      </c>
      <c r="G492" s="524" t="s">
        <v>3663</v>
      </c>
      <c r="H492" s="525" t="s">
        <v>3666</v>
      </c>
      <c r="I492" s="474"/>
      <c r="J492" s="475" t="s">
        <v>4655</v>
      </c>
      <c r="K492" s="471"/>
      <c r="L492" s="471"/>
      <c r="M492" s="471"/>
      <c r="N492" s="471"/>
      <c r="O492" s="471"/>
      <c r="P492" s="471"/>
      <c r="Q492" s="471"/>
      <c r="R492" s="471"/>
      <c r="S492" s="471"/>
      <c r="T492" s="471"/>
      <c r="U492" s="471"/>
      <c r="V492" s="471"/>
    </row>
    <row r="493" spans="1:22" ht="15.75" customHeight="1">
      <c r="A493" s="543" t="s">
        <v>880</v>
      </c>
      <c r="B493" s="544" t="s">
        <v>881</v>
      </c>
      <c r="C493" s="520" t="s">
        <v>213</v>
      </c>
      <c r="D493" s="472">
        <v>14.510999999999999</v>
      </c>
      <c r="E493" s="522">
        <v>24.74</v>
      </c>
      <c r="F493" s="523" t="s">
        <v>4166</v>
      </c>
      <c r="G493" s="526" t="s">
        <v>3668</v>
      </c>
      <c r="H493" s="525" t="s">
        <v>3678</v>
      </c>
      <c r="I493" s="474"/>
      <c r="J493" s="475" t="s">
        <v>4656</v>
      </c>
      <c r="K493" s="471"/>
      <c r="L493" s="471"/>
      <c r="M493" s="471"/>
      <c r="N493" s="471"/>
      <c r="O493" s="471"/>
      <c r="P493" s="471"/>
      <c r="Q493" s="471"/>
      <c r="R493" s="471"/>
      <c r="S493" s="471"/>
      <c r="T493" s="471"/>
      <c r="U493" s="471"/>
      <c r="V493" s="471"/>
    </row>
    <row r="494" spans="1:22" ht="15.75" customHeight="1">
      <c r="A494" s="543" t="s">
        <v>882</v>
      </c>
      <c r="B494" s="544" t="s">
        <v>883</v>
      </c>
      <c r="C494" s="543" t="s">
        <v>213</v>
      </c>
      <c r="D494" s="472">
        <v>3.5209999999999999</v>
      </c>
      <c r="E494" s="522">
        <v>3.3559999999999999</v>
      </c>
      <c r="F494" s="523" t="s">
        <v>4166</v>
      </c>
      <c r="G494" s="524" t="s">
        <v>3663</v>
      </c>
      <c r="H494" s="525" t="s">
        <v>3666</v>
      </c>
      <c r="I494" s="474"/>
      <c r="J494" s="475" t="s">
        <v>4657</v>
      </c>
      <c r="K494" s="471"/>
      <c r="L494" s="471"/>
      <c r="M494" s="471"/>
      <c r="N494" s="471"/>
      <c r="O494" s="471"/>
      <c r="P494" s="471"/>
      <c r="Q494" s="471"/>
      <c r="R494" s="471"/>
      <c r="S494" s="471"/>
      <c r="T494" s="471"/>
      <c r="U494" s="471"/>
      <c r="V494" s="471"/>
    </row>
    <row r="495" spans="1:22" ht="15.75" customHeight="1">
      <c r="A495" s="543" t="s">
        <v>884</v>
      </c>
      <c r="B495" s="521" t="s">
        <v>3839</v>
      </c>
      <c r="C495" s="543" t="s">
        <v>213</v>
      </c>
      <c r="D495" s="472">
        <v>32.402000000000001</v>
      </c>
      <c r="E495" s="522">
        <v>33.154000000000003</v>
      </c>
      <c r="F495" s="523">
        <v>71</v>
      </c>
      <c r="G495" s="524" t="s">
        <v>3663</v>
      </c>
      <c r="H495" s="525" t="s">
        <v>3666</v>
      </c>
      <c r="I495" s="474"/>
      <c r="J495" s="475" t="s">
        <v>4658</v>
      </c>
      <c r="K495" s="471"/>
      <c r="L495" s="471"/>
      <c r="M495" s="471"/>
      <c r="N495" s="471"/>
      <c r="O495" s="471"/>
      <c r="P495" s="471"/>
      <c r="Q495" s="471"/>
      <c r="R495" s="471"/>
      <c r="S495" s="471"/>
      <c r="T495" s="471"/>
      <c r="U495" s="471"/>
      <c r="V495" s="471"/>
    </row>
    <row r="496" spans="1:22" ht="15.75" customHeight="1">
      <c r="A496" s="543" t="s">
        <v>885</v>
      </c>
      <c r="B496" s="544" t="s">
        <v>3840</v>
      </c>
      <c r="C496" s="543" t="s">
        <v>213</v>
      </c>
      <c r="D496" s="472">
        <v>32.402000000000001</v>
      </c>
      <c r="E496" s="522">
        <v>33.154000000000003</v>
      </c>
      <c r="F496" s="523" t="s">
        <v>4166</v>
      </c>
      <c r="G496" s="524" t="s">
        <v>3663</v>
      </c>
      <c r="H496" s="525" t="s">
        <v>3666</v>
      </c>
      <c r="I496" s="474"/>
      <c r="J496" s="475" t="s">
        <v>4659</v>
      </c>
      <c r="K496" s="471"/>
      <c r="L496" s="471"/>
      <c r="M496" s="471"/>
      <c r="N496" s="471"/>
      <c r="O496" s="471"/>
      <c r="P496" s="471"/>
      <c r="Q496" s="471"/>
      <c r="R496" s="471"/>
      <c r="S496" s="471"/>
      <c r="T496" s="471"/>
      <c r="U496" s="471"/>
      <c r="V496" s="471"/>
    </row>
    <row r="497" spans="1:22" ht="15.75" customHeight="1">
      <c r="A497" s="543" t="s">
        <v>886</v>
      </c>
      <c r="B497" s="547" t="s">
        <v>887</v>
      </c>
      <c r="C497" s="536" t="s">
        <v>213</v>
      </c>
      <c r="D497" s="472">
        <v>38.442</v>
      </c>
      <c r="E497" s="522">
        <v>39.332999999999998</v>
      </c>
      <c r="F497" s="523" t="s">
        <v>4166</v>
      </c>
      <c r="G497" s="524" t="s">
        <v>3663</v>
      </c>
      <c r="H497" s="525" t="s">
        <v>3666</v>
      </c>
      <c r="I497" s="474"/>
      <c r="J497" s="475" t="s">
        <v>4660</v>
      </c>
      <c r="K497" s="471"/>
      <c r="L497" s="471"/>
      <c r="M497" s="471"/>
      <c r="N497" s="471"/>
      <c r="O497" s="471"/>
      <c r="P497" s="471"/>
      <c r="Q497" s="471"/>
      <c r="R497" s="471"/>
      <c r="S497" s="471"/>
      <c r="T497" s="471"/>
      <c r="U497" s="471"/>
      <c r="V497" s="471"/>
    </row>
    <row r="498" spans="1:22" ht="15.75" customHeight="1">
      <c r="A498" s="543" t="s">
        <v>888</v>
      </c>
      <c r="B498" s="547" t="s">
        <v>889</v>
      </c>
      <c r="C498" s="536" t="s">
        <v>213</v>
      </c>
      <c r="D498" s="472">
        <v>38.442</v>
      </c>
      <c r="E498" s="522">
        <v>39.332999999999998</v>
      </c>
      <c r="F498" s="523" t="s">
        <v>4166</v>
      </c>
      <c r="G498" s="524" t="s">
        <v>3663</v>
      </c>
      <c r="H498" s="525" t="s">
        <v>3666</v>
      </c>
      <c r="I498" s="474"/>
      <c r="J498" s="475" t="s">
        <v>4661</v>
      </c>
      <c r="K498" s="471"/>
      <c r="L498" s="471"/>
      <c r="M498" s="471"/>
      <c r="N498" s="471"/>
      <c r="O498" s="471"/>
      <c r="P498" s="471"/>
      <c r="Q498" s="471"/>
      <c r="R498" s="471"/>
      <c r="S498" s="471"/>
      <c r="T498" s="471"/>
      <c r="U498" s="471"/>
      <c r="V498" s="471"/>
    </row>
    <row r="499" spans="1:22" ht="15.75" customHeight="1">
      <c r="A499" s="548" t="s">
        <v>890</v>
      </c>
      <c r="B499" s="549" t="s">
        <v>891</v>
      </c>
      <c r="C499" s="532" t="s">
        <v>213</v>
      </c>
      <c r="D499" s="472">
        <v>11.112</v>
      </c>
      <c r="E499" s="522">
        <v>8.5280000000000005</v>
      </c>
      <c r="F499" s="523">
        <v>39</v>
      </c>
      <c r="G499" s="524" t="s">
        <v>3663</v>
      </c>
      <c r="H499" s="525" t="s">
        <v>3666</v>
      </c>
      <c r="I499" s="474"/>
      <c r="J499" s="475" t="s">
        <v>4662</v>
      </c>
      <c r="K499" s="471"/>
      <c r="L499" s="471"/>
      <c r="M499" s="471"/>
      <c r="N499" s="471"/>
      <c r="O499" s="471"/>
      <c r="P499" s="471"/>
      <c r="Q499" s="471"/>
      <c r="R499" s="471"/>
      <c r="S499" s="471"/>
      <c r="T499" s="471"/>
      <c r="U499" s="471"/>
      <c r="V499" s="471"/>
    </row>
    <row r="500" spans="1:22" ht="15.75" customHeight="1">
      <c r="A500" s="548" t="s">
        <v>892</v>
      </c>
      <c r="B500" s="549" t="s">
        <v>893</v>
      </c>
      <c r="C500" s="550" t="s">
        <v>213</v>
      </c>
      <c r="D500" s="472">
        <v>2.34</v>
      </c>
      <c r="E500" s="522">
        <v>1.796</v>
      </c>
      <c r="F500" s="523" t="s">
        <v>4166</v>
      </c>
      <c r="G500" s="524" t="s">
        <v>3663</v>
      </c>
      <c r="H500" s="525" t="s">
        <v>3666</v>
      </c>
      <c r="I500" s="474"/>
      <c r="J500" s="475" t="s">
        <v>4663</v>
      </c>
      <c r="K500" s="471"/>
      <c r="L500" s="471"/>
      <c r="M500" s="471"/>
      <c r="N500" s="471"/>
      <c r="O500" s="471"/>
      <c r="P500" s="471"/>
      <c r="Q500" s="471"/>
      <c r="R500" s="471"/>
      <c r="S500" s="471"/>
      <c r="T500" s="471"/>
      <c r="U500" s="471"/>
      <c r="V500" s="471"/>
    </row>
    <row r="501" spans="1:22" ht="15.75" customHeight="1">
      <c r="A501" s="548" t="s">
        <v>894</v>
      </c>
      <c r="B501" s="549" t="s">
        <v>895</v>
      </c>
      <c r="C501" s="550" t="s">
        <v>213</v>
      </c>
      <c r="D501" s="472">
        <v>2.34</v>
      </c>
      <c r="E501" s="522">
        <v>1.796</v>
      </c>
      <c r="F501" s="523" t="s">
        <v>4166</v>
      </c>
      <c r="G501" s="524" t="s">
        <v>3663</v>
      </c>
      <c r="H501" s="525" t="s">
        <v>3666</v>
      </c>
      <c r="I501" s="474"/>
      <c r="J501" s="475" t="s">
        <v>4664</v>
      </c>
      <c r="K501" s="471"/>
      <c r="L501" s="471"/>
      <c r="M501" s="471"/>
      <c r="N501" s="471"/>
      <c r="O501" s="471"/>
      <c r="P501" s="471"/>
      <c r="Q501" s="471"/>
      <c r="R501" s="471"/>
      <c r="S501" s="471"/>
      <c r="T501" s="471"/>
      <c r="U501" s="471"/>
      <c r="V501" s="471"/>
    </row>
    <row r="502" spans="1:22" ht="15.75" customHeight="1">
      <c r="A502" s="548" t="s">
        <v>896</v>
      </c>
      <c r="B502" s="549" t="s">
        <v>897</v>
      </c>
      <c r="C502" s="550" t="s">
        <v>213</v>
      </c>
      <c r="D502" s="472">
        <v>1.75</v>
      </c>
      <c r="E502" s="522">
        <v>1.3440000000000001</v>
      </c>
      <c r="F502" s="523" t="s">
        <v>4166</v>
      </c>
      <c r="G502" s="524" t="s">
        <v>3663</v>
      </c>
      <c r="H502" s="525" t="s">
        <v>3666</v>
      </c>
      <c r="I502" s="474"/>
      <c r="J502" s="475" t="s">
        <v>4665</v>
      </c>
      <c r="K502" s="471"/>
      <c r="L502" s="471"/>
      <c r="M502" s="471"/>
      <c r="N502" s="471"/>
      <c r="O502" s="471"/>
      <c r="P502" s="471"/>
      <c r="Q502" s="471"/>
      <c r="R502" s="471"/>
      <c r="S502" s="471"/>
      <c r="T502" s="471"/>
      <c r="U502" s="471"/>
      <c r="V502" s="471"/>
    </row>
    <row r="503" spans="1:22" ht="15.75" customHeight="1">
      <c r="A503" s="548" t="s">
        <v>898</v>
      </c>
      <c r="B503" s="549" t="s">
        <v>899</v>
      </c>
      <c r="C503" s="550" t="s">
        <v>213</v>
      </c>
      <c r="D503" s="472">
        <v>1.9179999999999999</v>
      </c>
      <c r="E503" s="522">
        <v>1.472</v>
      </c>
      <c r="F503" s="523" t="s">
        <v>4166</v>
      </c>
      <c r="G503" s="524" t="s">
        <v>3663</v>
      </c>
      <c r="H503" s="525" t="s">
        <v>3666</v>
      </c>
      <c r="I503" s="474"/>
      <c r="J503" s="475" t="s">
        <v>4666</v>
      </c>
      <c r="K503" s="471"/>
      <c r="L503" s="471"/>
      <c r="M503" s="471"/>
      <c r="N503" s="471"/>
      <c r="O503" s="471"/>
      <c r="P503" s="471"/>
      <c r="Q503" s="471"/>
      <c r="R503" s="471"/>
      <c r="S503" s="471"/>
      <c r="T503" s="471"/>
      <c r="U503" s="471"/>
      <c r="V503" s="471"/>
    </row>
    <row r="504" spans="1:22" ht="15.75" customHeight="1">
      <c r="A504" s="548" t="s">
        <v>900</v>
      </c>
      <c r="B504" s="549" t="s">
        <v>901</v>
      </c>
      <c r="C504" s="550" t="s">
        <v>213</v>
      </c>
      <c r="D504" s="472">
        <v>1.869</v>
      </c>
      <c r="E504" s="522">
        <v>1.421</v>
      </c>
      <c r="F504" s="523" t="s">
        <v>4166</v>
      </c>
      <c r="G504" s="524" t="s">
        <v>3663</v>
      </c>
      <c r="H504" s="525" t="s">
        <v>3841</v>
      </c>
      <c r="I504" s="474"/>
      <c r="J504" s="475" t="s">
        <v>4667</v>
      </c>
      <c r="K504" s="471"/>
      <c r="L504" s="471"/>
      <c r="M504" s="471"/>
      <c r="N504" s="471"/>
      <c r="O504" s="471"/>
      <c r="P504" s="471"/>
      <c r="Q504" s="471"/>
      <c r="R504" s="471"/>
      <c r="S504" s="471"/>
      <c r="T504" s="471"/>
      <c r="U504" s="471"/>
      <c r="V504" s="471"/>
    </row>
    <row r="505" spans="1:22" ht="15.75" customHeight="1">
      <c r="A505" s="548" t="s">
        <v>902</v>
      </c>
      <c r="B505" s="549" t="s">
        <v>903</v>
      </c>
      <c r="C505" s="532" t="s">
        <v>213</v>
      </c>
      <c r="D505" s="472">
        <v>11.644</v>
      </c>
      <c r="E505" s="522">
        <v>8.9359999999999999</v>
      </c>
      <c r="F505" s="523" t="s">
        <v>4166</v>
      </c>
      <c r="G505" s="524" t="s">
        <v>3663</v>
      </c>
      <c r="H505" s="525" t="s">
        <v>3666</v>
      </c>
      <c r="I505" s="474"/>
      <c r="J505" s="475" t="s">
        <v>4668</v>
      </c>
      <c r="K505" s="471"/>
      <c r="L505" s="471"/>
      <c r="M505" s="471"/>
      <c r="N505" s="471"/>
      <c r="O505" s="471"/>
      <c r="P505" s="471"/>
      <c r="Q505" s="471"/>
      <c r="R505" s="471"/>
      <c r="S505" s="471"/>
      <c r="T505" s="471"/>
      <c r="U505" s="471"/>
      <c r="V505" s="471"/>
    </row>
    <row r="506" spans="1:22" ht="15.75" customHeight="1">
      <c r="A506" s="548" t="s">
        <v>904</v>
      </c>
      <c r="B506" s="549" t="s">
        <v>3842</v>
      </c>
      <c r="C506" s="550" t="s">
        <v>213</v>
      </c>
      <c r="D506" s="472">
        <v>0.98899999999999999</v>
      </c>
      <c r="E506" s="522">
        <v>0.753</v>
      </c>
      <c r="F506" s="523" t="s">
        <v>4166</v>
      </c>
      <c r="G506" s="524"/>
      <c r="H506" s="525" t="s">
        <v>3841</v>
      </c>
      <c r="I506" s="474"/>
      <c r="J506" s="475" t="s">
        <v>4669</v>
      </c>
      <c r="K506" s="471"/>
      <c r="L506" s="471"/>
      <c r="M506" s="471"/>
      <c r="N506" s="471"/>
      <c r="O506" s="471"/>
      <c r="P506" s="471"/>
      <c r="Q506" s="471"/>
      <c r="R506" s="471"/>
      <c r="S506" s="471"/>
      <c r="T506" s="471"/>
      <c r="U506" s="471"/>
      <c r="V506" s="471"/>
    </row>
    <row r="507" spans="1:22" ht="15.75" customHeight="1">
      <c r="A507" s="548" t="s">
        <v>3843</v>
      </c>
      <c r="B507" s="549" t="s">
        <v>3844</v>
      </c>
      <c r="C507" s="550" t="s">
        <v>213</v>
      </c>
      <c r="D507" s="472">
        <v>0.67200000000000004</v>
      </c>
      <c r="E507" s="522">
        <v>0.51500000000000001</v>
      </c>
      <c r="F507" s="523" t="s">
        <v>4166</v>
      </c>
      <c r="G507" s="524" t="s">
        <v>3663</v>
      </c>
      <c r="H507" s="525" t="s">
        <v>3666</v>
      </c>
      <c r="I507" s="474"/>
      <c r="J507" s="475" t="s">
        <v>4670</v>
      </c>
      <c r="K507" s="471"/>
      <c r="L507" s="471"/>
      <c r="M507" s="471"/>
      <c r="N507" s="471"/>
      <c r="O507" s="471"/>
      <c r="P507" s="471"/>
      <c r="Q507" s="471"/>
      <c r="R507" s="471"/>
      <c r="S507" s="471"/>
      <c r="T507" s="471"/>
      <c r="U507" s="471"/>
      <c r="V507" s="471"/>
    </row>
    <row r="508" spans="1:22" ht="15.75" customHeight="1">
      <c r="A508" s="548" t="s">
        <v>905</v>
      </c>
      <c r="B508" s="549" t="s">
        <v>906</v>
      </c>
      <c r="C508" s="532" t="s">
        <v>213</v>
      </c>
      <c r="D508" s="472">
        <v>12.31</v>
      </c>
      <c r="E508" s="522">
        <v>9.4469999999999992</v>
      </c>
      <c r="F508" s="523">
        <v>18</v>
      </c>
      <c r="G508" s="524" t="s">
        <v>3663</v>
      </c>
      <c r="H508" s="525" t="s">
        <v>3666</v>
      </c>
      <c r="I508" s="474"/>
      <c r="J508" s="475" t="s">
        <v>4671</v>
      </c>
      <c r="K508" s="471"/>
      <c r="L508" s="471"/>
      <c r="M508" s="471"/>
      <c r="N508" s="471"/>
      <c r="O508" s="471"/>
      <c r="P508" s="471"/>
      <c r="Q508" s="471"/>
      <c r="R508" s="471"/>
      <c r="S508" s="471"/>
      <c r="T508" s="471"/>
      <c r="U508" s="471"/>
      <c r="V508" s="471"/>
    </row>
    <row r="509" spans="1:22" ht="15.75" customHeight="1">
      <c r="A509" s="548" t="s">
        <v>907</v>
      </c>
      <c r="B509" s="549" t="s">
        <v>908</v>
      </c>
      <c r="C509" s="550" t="s">
        <v>213</v>
      </c>
      <c r="D509" s="472">
        <v>2.4209999999999998</v>
      </c>
      <c r="E509" s="522">
        <v>1.8580000000000001</v>
      </c>
      <c r="F509" s="523" t="s">
        <v>4166</v>
      </c>
      <c r="G509" s="524" t="s">
        <v>3663</v>
      </c>
      <c r="H509" s="525" t="s">
        <v>3666</v>
      </c>
      <c r="I509" s="474"/>
      <c r="J509" s="475" t="s">
        <v>4672</v>
      </c>
      <c r="K509" s="471"/>
      <c r="L509" s="471"/>
      <c r="M509" s="471"/>
      <c r="N509" s="471"/>
      <c r="O509" s="471"/>
      <c r="P509" s="471"/>
      <c r="Q509" s="471"/>
      <c r="R509" s="471"/>
      <c r="S509" s="471"/>
      <c r="T509" s="471"/>
      <c r="U509" s="471"/>
      <c r="V509" s="471"/>
    </row>
    <row r="510" spans="1:22" ht="15.75" customHeight="1">
      <c r="A510" s="548" t="s">
        <v>909</v>
      </c>
      <c r="B510" s="549" t="s">
        <v>910</v>
      </c>
      <c r="C510" s="550" t="s">
        <v>213</v>
      </c>
      <c r="D510" s="472">
        <v>2.4209999999999998</v>
      </c>
      <c r="E510" s="522">
        <v>1.8580000000000001</v>
      </c>
      <c r="F510" s="523" t="s">
        <v>4166</v>
      </c>
      <c r="G510" s="524" t="s">
        <v>3663</v>
      </c>
      <c r="H510" s="525" t="s">
        <v>3666</v>
      </c>
      <c r="I510" s="474"/>
      <c r="J510" s="475" t="s">
        <v>4673</v>
      </c>
      <c r="K510" s="471"/>
      <c r="L510" s="471"/>
      <c r="M510" s="471"/>
      <c r="N510" s="471"/>
      <c r="O510" s="471"/>
      <c r="P510" s="471"/>
      <c r="Q510" s="471"/>
      <c r="R510" s="471"/>
      <c r="S510" s="471"/>
      <c r="T510" s="471"/>
      <c r="U510" s="471"/>
      <c r="V510" s="471"/>
    </row>
    <row r="511" spans="1:22" ht="15.75" customHeight="1">
      <c r="A511" s="548" t="s">
        <v>911</v>
      </c>
      <c r="B511" s="549" t="s">
        <v>912</v>
      </c>
      <c r="C511" s="532" t="s">
        <v>213</v>
      </c>
      <c r="D511" s="472">
        <v>4.9809999999999999</v>
      </c>
      <c r="E511" s="522">
        <v>3.823</v>
      </c>
      <c r="F511" s="523" t="s">
        <v>4166</v>
      </c>
      <c r="G511" s="524" t="s">
        <v>3663</v>
      </c>
      <c r="H511" s="525" t="s">
        <v>3666</v>
      </c>
      <c r="I511" s="474"/>
      <c r="J511" s="475" t="s">
        <v>4674</v>
      </c>
      <c r="K511" s="471"/>
      <c r="L511" s="471"/>
      <c r="M511" s="471"/>
      <c r="N511" s="471"/>
      <c r="O511" s="471"/>
      <c r="P511" s="471"/>
      <c r="Q511" s="471"/>
      <c r="R511" s="471"/>
      <c r="S511" s="471"/>
      <c r="T511" s="471"/>
      <c r="U511" s="471"/>
      <c r="V511" s="471"/>
    </row>
    <row r="512" spans="1:22" ht="15.75" customHeight="1">
      <c r="A512" s="548" t="s">
        <v>913</v>
      </c>
      <c r="B512" s="549" t="s">
        <v>914</v>
      </c>
      <c r="C512" s="550" t="s">
        <v>213</v>
      </c>
      <c r="D512" s="472">
        <v>1.613</v>
      </c>
      <c r="E512" s="522">
        <v>1.238</v>
      </c>
      <c r="F512" s="523" t="s">
        <v>4166</v>
      </c>
      <c r="G512" s="524" t="s">
        <v>3663</v>
      </c>
      <c r="H512" s="525" t="s">
        <v>3666</v>
      </c>
      <c r="I512" s="474"/>
      <c r="J512" s="475" t="s">
        <v>4675</v>
      </c>
      <c r="K512" s="471"/>
      <c r="L512" s="471"/>
      <c r="M512" s="471"/>
      <c r="N512" s="471"/>
      <c r="O512" s="471"/>
      <c r="P512" s="471"/>
      <c r="Q512" s="471"/>
      <c r="R512" s="471"/>
      <c r="S512" s="471"/>
      <c r="T512" s="471"/>
      <c r="U512" s="471"/>
      <c r="V512" s="471"/>
    </row>
    <row r="513" spans="1:22" ht="15.75" customHeight="1">
      <c r="A513" s="548" t="s">
        <v>915</v>
      </c>
      <c r="B513" s="549" t="s">
        <v>916</v>
      </c>
      <c r="C513" s="532" t="s">
        <v>213</v>
      </c>
      <c r="D513" s="472">
        <v>8.3230000000000004</v>
      </c>
      <c r="E513" s="522">
        <v>6.3860000000000001</v>
      </c>
      <c r="F513" s="523">
        <v>9.1999999999999993</v>
      </c>
      <c r="G513" s="526" t="s">
        <v>3668</v>
      </c>
      <c r="H513" s="525" t="s">
        <v>3671</v>
      </c>
      <c r="I513" s="474"/>
      <c r="J513" s="475" t="s">
        <v>4676</v>
      </c>
      <c r="K513" s="471"/>
      <c r="L513" s="471"/>
      <c r="M513" s="471"/>
      <c r="N513" s="471"/>
      <c r="O513" s="471"/>
      <c r="P513" s="471"/>
      <c r="Q513" s="471"/>
      <c r="R513" s="471"/>
      <c r="S513" s="471"/>
      <c r="T513" s="471"/>
      <c r="U513" s="471"/>
      <c r="V513" s="471"/>
    </row>
    <row r="514" spans="1:22" ht="15.75" customHeight="1">
      <c r="A514" s="548" t="s">
        <v>917</v>
      </c>
      <c r="B514" s="549" t="s">
        <v>918</v>
      </c>
      <c r="C514" s="532" t="s">
        <v>213</v>
      </c>
      <c r="D514" s="472">
        <v>8.5779999999999994</v>
      </c>
      <c r="E514" s="522">
        <v>6.5819999999999999</v>
      </c>
      <c r="F514" s="523" t="s">
        <v>4166</v>
      </c>
      <c r="G514" s="526" t="s">
        <v>3668</v>
      </c>
      <c r="H514" s="525" t="s">
        <v>3671</v>
      </c>
      <c r="I514" s="474"/>
      <c r="J514" s="475" t="s">
        <v>4677</v>
      </c>
      <c r="K514" s="471"/>
      <c r="L514" s="471"/>
      <c r="M514" s="471"/>
      <c r="N514" s="471"/>
      <c r="O514" s="471"/>
      <c r="P514" s="471"/>
      <c r="Q514" s="471"/>
      <c r="R514" s="471"/>
      <c r="S514" s="471"/>
      <c r="T514" s="471"/>
      <c r="U514" s="471"/>
      <c r="V514" s="471"/>
    </row>
    <row r="515" spans="1:22" ht="15.75" customHeight="1">
      <c r="A515" s="548" t="s">
        <v>919</v>
      </c>
      <c r="B515" s="549" t="s">
        <v>920</v>
      </c>
      <c r="C515" s="532" t="s">
        <v>213</v>
      </c>
      <c r="D515" s="472">
        <v>8.0020000000000007</v>
      </c>
      <c r="E515" s="522">
        <v>6.141</v>
      </c>
      <c r="F515" s="523">
        <v>3.8</v>
      </c>
      <c r="G515" s="526" t="s">
        <v>3668</v>
      </c>
      <c r="H515" s="525" t="s">
        <v>3671</v>
      </c>
      <c r="I515" s="474"/>
      <c r="J515" s="475" t="s">
        <v>4678</v>
      </c>
      <c r="K515" s="471"/>
      <c r="L515" s="471"/>
      <c r="M515" s="471"/>
      <c r="N515" s="471"/>
      <c r="O515" s="471"/>
      <c r="P515" s="471"/>
      <c r="Q515" s="471"/>
      <c r="R515" s="471"/>
      <c r="S515" s="471"/>
      <c r="T515" s="471"/>
      <c r="U515" s="471"/>
      <c r="V515" s="471"/>
    </row>
    <row r="516" spans="1:22" ht="15.75" customHeight="1">
      <c r="A516" s="548" t="s">
        <v>3845</v>
      </c>
      <c r="B516" s="549" t="s">
        <v>3846</v>
      </c>
      <c r="C516" s="532" t="s">
        <v>213</v>
      </c>
      <c r="D516" s="472">
        <v>8.5830000000000002</v>
      </c>
      <c r="E516" s="522">
        <v>6.58</v>
      </c>
      <c r="F516" s="523" t="s">
        <v>4166</v>
      </c>
      <c r="G516" s="526" t="s">
        <v>3668</v>
      </c>
      <c r="H516" s="525" t="s">
        <v>3671</v>
      </c>
      <c r="I516" s="474"/>
      <c r="J516" s="475" t="s">
        <v>4679</v>
      </c>
      <c r="K516" s="471"/>
      <c r="L516" s="471"/>
      <c r="M516" s="471"/>
      <c r="N516" s="471"/>
      <c r="O516" s="471"/>
      <c r="P516" s="471"/>
      <c r="Q516" s="471"/>
      <c r="R516" s="471"/>
      <c r="S516" s="471"/>
      <c r="T516" s="471"/>
      <c r="U516" s="471"/>
      <c r="V516" s="471"/>
    </row>
    <row r="517" spans="1:22" ht="15.75" customHeight="1">
      <c r="A517" s="548" t="s">
        <v>3847</v>
      </c>
      <c r="B517" s="549" t="s">
        <v>3848</v>
      </c>
      <c r="C517" s="532" t="s">
        <v>213</v>
      </c>
      <c r="D517" s="472">
        <v>8.5830000000000002</v>
      </c>
      <c r="E517" s="522">
        <v>6.58</v>
      </c>
      <c r="F517" s="523" t="s">
        <v>4166</v>
      </c>
      <c r="G517" s="526" t="s">
        <v>3668</v>
      </c>
      <c r="H517" s="525" t="s">
        <v>3671</v>
      </c>
      <c r="I517" s="474"/>
      <c r="J517" s="475" t="s">
        <v>4680</v>
      </c>
      <c r="K517" s="471"/>
      <c r="L517" s="471"/>
      <c r="M517" s="471"/>
      <c r="N517" s="471"/>
      <c r="O517" s="471"/>
      <c r="P517" s="471"/>
      <c r="Q517" s="471"/>
      <c r="R517" s="471"/>
      <c r="S517" s="471"/>
      <c r="T517" s="471"/>
      <c r="U517" s="471"/>
      <c r="V517" s="471"/>
    </row>
    <row r="518" spans="1:22" ht="15.75" customHeight="1">
      <c r="A518" s="548" t="s">
        <v>921</v>
      </c>
      <c r="B518" s="549" t="s">
        <v>922</v>
      </c>
      <c r="C518" s="532" t="s">
        <v>213</v>
      </c>
      <c r="D518" s="472">
        <v>9.0980000000000008</v>
      </c>
      <c r="E518" s="522">
        <v>6.9820000000000002</v>
      </c>
      <c r="F518" s="523">
        <v>61</v>
      </c>
      <c r="G518" s="524" t="s">
        <v>3663</v>
      </c>
      <c r="H518" s="525" t="s">
        <v>3666</v>
      </c>
      <c r="I518" s="474"/>
      <c r="J518" s="475" t="s">
        <v>4681</v>
      </c>
      <c r="K518" s="471"/>
      <c r="L518" s="471"/>
      <c r="M518" s="471"/>
      <c r="N518" s="471"/>
      <c r="O518" s="471"/>
      <c r="P518" s="471"/>
      <c r="Q518" s="471"/>
      <c r="R518" s="471"/>
      <c r="S518" s="471"/>
      <c r="T518" s="471"/>
      <c r="U518" s="471"/>
      <c r="V518" s="471"/>
    </row>
    <row r="519" spans="1:22" ht="15.75" customHeight="1">
      <c r="A519" s="548" t="s">
        <v>923</v>
      </c>
      <c r="B519" s="549" t="s">
        <v>924</v>
      </c>
      <c r="C519" s="532" t="s">
        <v>213</v>
      </c>
      <c r="D519" s="472">
        <v>9.0980000000000008</v>
      </c>
      <c r="E519" s="522">
        <v>6.9820000000000002</v>
      </c>
      <c r="F519" s="523" t="s">
        <v>4166</v>
      </c>
      <c r="G519" s="524" t="s">
        <v>3663</v>
      </c>
      <c r="H519" s="525" t="s">
        <v>3666</v>
      </c>
      <c r="I519" s="474"/>
      <c r="J519" s="475" t="s">
        <v>4682</v>
      </c>
      <c r="K519" s="471"/>
      <c r="L519" s="471"/>
      <c r="M519" s="471"/>
      <c r="N519" s="471"/>
      <c r="O519" s="471"/>
      <c r="P519" s="471"/>
      <c r="Q519" s="471"/>
      <c r="R519" s="471"/>
      <c r="S519" s="471"/>
      <c r="T519" s="471"/>
      <c r="U519" s="471"/>
      <c r="V519" s="471"/>
    </row>
    <row r="520" spans="1:22" ht="15.75" customHeight="1">
      <c r="A520" s="548" t="s">
        <v>925</v>
      </c>
      <c r="B520" s="549" t="s">
        <v>926</v>
      </c>
      <c r="C520" s="532" t="s">
        <v>213</v>
      </c>
      <c r="D520" s="472">
        <v>8.25</v>
      </c>
      <c r="E520" s="522">
        <v>6.3310000000000004</v>
      </c>
      <c r="F520" s="523">
        <v>85</v>
      </c>
      <c r="G520" s="524" t="s">
        <v>3663</v>
      </c>
      <c r="H520" s="525" t="s">
        <v>3666</v>
      </c>
      <c r="I520" s="474"/>
      <c r="J520" s="475" t="s">
        <v>4683</v>
      </c>
      <c r="K520" s="471"/>
      <c r="L520" s="471"/>
      <c r="M520" s="471"/>
      <c r="N520" s="471"/>
      <c r="O520" s="471"/>
      <c r="P520" s="471"/>
      <c r="Q520" s="471"/>
      <c r="R520" s="471"/>
      <c r="S520" s="471"/>
      <c r="T520" s="471"/>
      <c r="U520" s="471"/>
      <c r="V520" s="471"/>
    </row>
    <row r="521" spans="1:22" ht="15.75" customHeight="1">
      <c r="A521" s="548" t="s">
        <v>927</v>
      </c>
      <c r="B521" s="549" t="s">
        <v>928</v>
      </c>
      <c r="C521" s="532" t="s">
        <v>213</v>
      </c>
      <c r="D521" s="472">
        <v>8.5380000000000003</v>
      </c>
      <c r="E521" s="522">
        <v>6.5519999999999996</v>
      </c>
      <c r="F521" s="523" t="s">
        <v>4166</v>
      </c>
      <c r="G521" s="524" t="s">
        <v>3663</v>
      </c>
      <c r="H521" s="525" t="s">
        <v>3666</v>
      </c>
      <c r="I521" s="474"/>
      <c r="J521" s="475" t="s">
        <v>4684</v>
      </c>
      <c r="K521" s="471"/>
      <c r="L521" s="471"/>
      <c r="M521" s="471"/>
      <c r="N521" s="471"/>
      <c r="O521" s="471"/>
      <c r="P521" s="471"/>
      <c r="Q521" s="471"/>
      <c r="R521" s="471"/>
      <c r="S521" s="471"/>
      <c r="T521" s="471"/>
      <c r="U521" s="471"/>
      <c r="V521" s="471"/>
    </row>
    <row r="522" spans="1:22" ht="15.75" customHeight="1">
      <c r="A522" s="548" t="s">
        <v>3849</v>
      </c>
      <c r="B522" s="549" t="s">
        <v>3850</v>
      </c>
      <c r="C522" s="532" t="s">
        <v>213</v>
      </c>
      <c r="D522" s="472">
        <v>8.5380000000000003</v>
      </c>
      <c r="E522" s="522">
        <v>6.5519999999999996</v>
      </c>
      <c r="F522" s="523" t="s">
        <v>4166</v>
      </c>
      <c r="G522" s="524" t="s">
        <v>3663</v>
      </c>
      <c r="H522" s="525" t="s">
        <v>3666</v>
      </c>
      <c r="I522" s="474"/>
      <c r="J522" s="475" t="s">
        <v>4685</v>
      </c>
      <c r="K522" s="471"/>
      <c r="L522" s="471"/>
      <c r="M522" s="471"/>
      <c r="N522" s="471"/>
      <c r="O522" s="471"/>
      <c r="P522" s="471"/>
      <c r="Q522" s="471"/>
      <c r="R522" s="471"/>
      <c r="S522" s="471"/>
      <c r="T522" s="471"/>
      <c r="U522" s="471"/>
      <c r="V522" s="471"/>
    </row>
    <row r="523" spans="1:22" ht="15.75" customHeight="1">
      <c r="A523" s="548" t="s">
        <v>929</v>
      </c>
      <c r="B523" s="549" t="s">
        <v>3851</v>
      </c>
      <c r="C523" s="532" t="s">
        <v>213</v>
      </c>
      <c r="D523" s="472">
        <v>3.823</v>
      </c>
      <c r="E523" s="522">
        <v>2.9329999999999998</v>
      </c>
      <c r="F523" s="523" t="s">
        <v>4166</v>
      </c>
      <c r="G523" s="524" t="s">
        <v>3663</v>
      </c>
      <c r="H523" s="525" t="s">
        <v>3666</v>
      </c>
      <c r="I523" s="474"/>
      <c r="J523" s="475" t="s">
        <v>4686</v>
      </c>
      <c r="K523" s="471"/>
      <c r="L523" s="471"/>
      <c r="M523" s="471"/>
      <c r="N523" s="471"/>
      <c r="O523" s="471"/>
      <c r="P523" s="471"/>
      <c r="Q523" s="471"/>
      <c r="R523" s="471"/>
      <c r="S523" s="471"/>
      <c r="T523" s="471"/>
      <c r="U523" s="471"/>
      <c r="V523" s="471"/>
    </row>
    <row r="524" spans="1:22" ht="15.75" customHeight="1">
      <c r="A524" s="548" t="s">
        <v>3852</v>
      </c>
      <c r="B524" s="549" t="s">
        <v>3853</v>
      </c>
      <c r="C524" s="532" t="s">
        <v>4158</v>
      </c>
      <c r="D524" s="472">
        <v>4.5890000000000004</v>
      </c>
      <c r="E524" s="522">
        <v>3.5209999999999999</v>
      </c>
      <c r="F524" s="523" t="s">
        <v>4166</v>
      </c>
      <c r="G524" s="524" t="s">
        <v>3663</v>
      </c>
      <c r="H524" s="525" t="s">
        <v>3666</v>
      </c>
      <c r="I524" s="474"/>
      <c r="J524" s="475" t="s">
        <v>4687</v>
      </c>
      <c r="K524" s="471"/>
      <c r="L524" s="471"/>
      <c r="M524" s="471"/>
      <c r="N524" s="471"/>
      <c r="O524" s="471"/>
      <c r="P524" s="471"/>
      <c r="Q524" s="471"/>
      <c r="R524" s="471"/>
      <c r="S524" s="471"/>
      <c r="T524" s="471"/>
      <c r="U524" s="471"/>
      <c r="V524" s="471"/>
    </row>
    <row r="525" spans="1:22" ht="15.75" customHeight="1">
      <c r="A525" s="548" t="s">
        <v>930</v>
      </c>
      <c r="B525" s="549" t="s">
        <v>931</v>
      </c>
      <c r="C525" s="532" t="s">
        <v>213</v>
      </c>
      <c r="D525" s="472">
        <v>4.5890000000000004</v>
      </c>
      <c r="E525" s="522">
        <v>3.5209999999999999</v>
      </c>
      <c r="F525" s="523">
        <v>43</v>
      </c>
      <c r="G525" s="524" t="s">
        <v>3663</v>
      </c>
      <c r="H525" s="525" t="s">
        <v>3666</v>
      </c>
      <c r="I525" s="474"/>
      <c r="J525" s="475" t="s">
        <v>4688</v>
      </c>
      <c r="K525" s="471"/>
      <c r="L525" s="471"/>
      <c r="M525" s="471"/>
      <c r="N525" s="471"/>
      <c r="O525" s="471"/>
      <c r="P525" s="471"/>
      <c r="Q525" s="471"/>
      <c r="R525" s="471"/>
      <c r="S525" s="471"/>
      <c r="T525" s="471"/>
      <c r="U525" s="471"/>
      <c r="V525" s="471"/>
    </row>
    <row r="526" spans="1:22" ht="15.75" customHeight="1">
      <c r="A526" s="548" t="s">
        <v>932</v>
      </c>
      <c r="B526" s="549" t="s">
        <v>933</v>
      </c>
      <c r="C526" s="532" t="s">
        <v>213</v>
      </c>
      <c r="D526" s="472">
        <v>3.823</v>
      </c>
      <c r="E526" s="522">
        <v>2.9329999999999998</v>
      </c>
      <c r="F526" s="523" t="s">
        <v>4166</v>
      </c>
      <c r="G526" s="524" t="s">
        <v>3663</v>
      </c>
      <c r="H526" s="525" t="s">
        <v>3666</v>
      </c>
      <c r="I526" s="474"/>
      <c r="J526" s="475" t="s">
        <v>4689</v>
      </c>
      <c r="K526" s="471"/>
      <c r="L526" s="471"/>
      <c r="M526" s="471"/>
      <c r="N526" s="471"/>
      <c r="O526" s="471"/>
      <c r="P526" s="471"/>
      <c r="Q526" s="471"/>
      <c r="R526" s="471"/>
      <c r="S526" s="471"/>
      <c r="T526" s="471"/>
      <c r="U526" s="471"/>
      <c r="V526" s="471"/>
    </row>
    <row r="527" spans="1:22" ht="15.75" customHeight="1">
      <c r="A527" s="548" t="s">
        <v>3854</v>
      </c>
      <c r="B527" s="549" t="s">
        <v>3855</v>
      </c>
      <c r="C527" s="532" t="s">
        <v>4158</v>
      </c>
      <c r="D527" s="472">
        <v>4.5890000000000004</v>
      </c>
      <c r="E527" s="522">
        <v>3.5209999999999999</v>
      </c>
      <c r="F527" s="523" t="s">
        <v>4166</v>
      </c>
      <c r="G527" s="524" t="s">
        <v>3663</v>
      </c>
      <c r="H527" s="525" t="s">
        <v>3666</v>
      </c>
      <c r="I527" s="474"/>
      <c r="J527" s="475" t="s">
        <v>4690</v>
      </c>
      <c r="K527" s="471"/>
      <c r="L527" s="471"/>
      <c r="M527" s="471"/>
      <c r="N527" s="471"/>
      <c r="O527" s="471"/>
      <c r="P527" s="471"/>
      <c r="Q527" s="471"/>
      <c r="R527" s="471"/>
      <c r="S527" s="471"/>
      <c r="T527" s="471"/>
      <c r="U527" s="471"/>
      <c r="V527" s="471"/>
    </row>
    <row r="528" spans="1:22" ht="15.75" customHeight="1">
      <c r="A528" s="548" t="s">
        <v>934</v>
      </c>
      <c r="B528" s="549" t="s">
        <v>935</v>
      </c>
      <c r="C528" s="532" t="s">
        <v>213</v>
      </c>
      <c r="D528" s="472">
        <v>4.5890000000000004</v>
      </c>
      <c r="E528" s="522">
        <v>3.5209999999999999</v>
      </c>
      <c r="F528" s="523" t="s">
        <v>4166</v>
      </c>
      <c r="G528" s="524" t="s">
        <v>3663</v>
      </c>
      <c r="H528" s="525" t="s">
        <v>3666</v>
      </c>
      <c r="I528" s="474"/>
      <c r="J528" s="475" t="s">
        <v>4691</v>
      </c>
      <c r="K528" s="471"/>
      <c r="L528" s="471"/>
      <c r="M528" s="471"/>
      <c r="N528" s="471"/>
      <c r="O528" s="471"/>
      <c r="P528" s="471"/>
      <c r="Q528" s="471"/>
      <c r="R528" s="471"/>
      <c r="S528" s="471"/>
      <c r="T528" s="471"/>
      <c r="U528" s="471"/>
      <c r="V528" s="471"/>
    </row>
    <row r="529" spans="1:22" ht="15.75" customHeight="1">
      <c r="A529" s="548" t="s">
        <v>936</v>
      </c>
      <c r="B529" s="549" t="s">
        <v>937</v>
      </c>
      <c r="C529" s="532" t="s">
        <v>213</v>
      </c>
      <c r="D529" s="472">
        <v>4.2859999999999996</v>
      </c>
      <c r="E529" s="522">
        <v>3.2890000000000001</v>
      </c>
      <c r="F529" s="523">
        <v>22</v>
      </c>
      <c r="G529" s="524" t="s">
        <v>3663</v>
      </c>
      <c r="H529" s="525" t="s">
        <v>3666</v>
      </c>
      <c r="I529" s="474"/>
      <c r="J529" s="475" t="s">
        <v>4692</v>
      </c>
      <c r="K529" s="471"/>
      <c r="L529" s="471"/>
      <c r="M529" s="471"/>
      <c r="N529" s="471"/>
      <c r="O529" s="471"/>
      <c r="P529" s="471"/>
      <c r="Q529" s="471"/>
      <c r="R529" s="471"/>
      <c r="S529" s="471"/>
      <c r="T529" s="471"/>
      <c r="U529" s="471"/>
      <c r="V529" s="471"/>
    </row>
    <row r="530" spans="1:22" ht="15.75" customHeight="1">
      <c r="A530" s="548" t="s">
        <v>938</v>
      </c>
      <c r="B530" s="549" t="s">
        <v>939</v>
      </c>
      <c r="C530" s="532" t="s">
        <v>213</v>
      </c>
      <c r="D530" s="472">
        <v>4.2859999999999996</v>
      </c>
      <c r="E530" s="522">
        <v>3.2890000000000001</v>
      </c>
      <c r="F530" s="523" t="s">
        <v>4166</v>
      </c>
      <c r="G530" s="524" t="s">
        <v>3663</v>
      </c>
      <c r="H530" s="525" t="s">
        <v>3666</v>
      </c>
      <c r="I530" s="474"/>
      <c r="J530" s="475" t="s">
        <v>4693</v>
      </c>
      <c r="K530" s="471"/>
      <c r="L530" s="471"/>
      <c r="M530" s="471"/>
      <c r="N530" s="471"/>
      <c r="O530" s="471"/>
      <c r="P530" s="471"/>
      <c r="Q530" s="471"/>
      <c r="R530" s="471"/>
      <c r="S530" s="471"/>
      <c r="T530" s="471"/>
      <c r="U530" s="471"/>
      <c r="V530" s="471"/>
    </row>
    <row r="531" spans="1:22" ht="15.75" customHeight="1">
      <c r="A531" s="548" t="s">
        <v>940</v>
      </c>
      <c r="B531" s="549" t="s">
        <v>941</v>
      </c>
      <c r="C531" s="532" t="s">
        <v>213</v>
      </c>
      <c r="D531" s="472">
        <v>3.8620000000000001</v>
      </c>
      <c r="E531" s="522">
        <v>2.964</v>
      </c>
      <c r="F531" s="523" t="s">
        <v>4166</v>
      </c>
      <c r="G531" s="524" t="s">
        <v>3663</v>
      </c>
      <c r="H531" s="525" t="s">
        <v>3666</v>
      </c>
      <c r="I531" s="474"/>
      <c r="J531" s="475" t="s">
        <v>4694</v>
      </c>
      <c r="K531" s="471"/>
      <c r="L531" s="471"/>
      <c r="M531" s="471"/>
      <c r="N531" s="471"/>
      <c r="O531" s="471"/>
      <c r="P531" s="471"/>
      <c r="Q531" s="471"/>
      <c r="R531" s="471"/>
      <c r="S531" s="471"/>
      <c r="T531" s="471"/>
      <c r="U531" s="471"/>
      <c r="V531" s="471"/>
    </row>
    <row r="532" spans="1:22" ht="15.75" customHeight="1">
      <c r="A532" s="548" t="s">
        <v>4695</v>
      </c>
      <c r="B532" s="549" t="s">
        <v>4696</v>
      </c>
      <c r="C532" s="532" t="s">
        <v>213</v>
      </c>
      <c r="D532" s="472">
        <v>37.497999999999998</v>
      </c>
      <c r="E532" s="522">
        <v>37.198999999999998</v>
      </c>
      <c r="F532" s="523">
        <v>22</v>
      </c>
      <c r="G532" s="524" t="s">
        <v>3663</v>
      </c>
      <c r="H532" s="525" t="s">
        <v>3666</v>
      </c>
      <c r="I532" s="474"/>
      <c r="J532" s="475" t="s">
        <v>4692</v>
      </c>
      <c r="K532" s="471"/>
      <c r="L532" s="471"/>
      <c r="M532" s="471"/>
      <c r="N532" s="471"/>
      <c r="O532" s="471"/>
      <c r="P532" s="471"/>
      <c r="Q532" s="471"/>
      <c r="R532" s="471"/>
      <c r="S532" s="471"/>
      <c r="T532" s="471"/>
      <c r="U532" s="471"/>
      <c r="V532" s="471"/>
    </row>
    <row r="533" spans="1:22" ht="15.75" customHeight="1">
      <c r="A533" s="548" t="s">
        <v>4697</v>
      </c>
      <c r="B533" s="549" t="s">
        <v>4698</v>
      </c>
      <c r="C533" s="532" t="s">
        <v>213</v>
      </c>
      <c r="D533" s="472">
        <v>37.497999999999998</v>
      </c>
      <c r="E533" s="522">
        <v>37.198999999999998</v>
      </c>
      <c r="F533" s="523">
        <v>22</v>
      </c>
      <c r="G533" s="524" t="s">
        <v>3663</v>
      </c>
      <c r="H533" s="525" t="s">
        <v>3666</v>
      </c>
      <c r="I533" s="474"/>
      <c r="J533" s="475" t="s">
        <v>4692</v>
      </c>
      <c r="K533" s="471"/>
      <c r="L533" s="471"/>
      <c r="M533" s="471"/>
      <c r="N533" s="471"/>
      <c r="O533" s="471"/>
      <c r="P533" s="471"/>
      <c r="Q533" s="471"/>
      <c r="R533" s="471"/>
      <c r="S533" s="471"/>
      <c r="T533" s="471"/>
      <c r="U533" s="471"/>
      <c r="V533" s="471"/>
    </row>
    <row r="534" spans="1:22" ht="15.75" customHeight="1">
      <c r="A534" s="551" t="s">
        <v>4699</v>
      </c>
      <c r="B534" s="552" t="s">
        <v>4700</v>
      </c>
      <c r="C534" s="553" t="s">
        <v>4701</v>
      </c>
      <c r="D534" s="472">
        <v>4.2859999999999996</v>
      </c>
      <c r="E534" s="522">
        <v>3.2890000000000001</v>
      </c>
      <c r="F534" s="523">
        <v>22</v>
      </c>
      <c r="G534" s="524" t="s">
        <v>3663</v>
      </c>
      <c r="H534" s="525" t="s">
        <v>3666</v>
      </c>
      <c r="I534" s="474"/>
      <c r="J534" s="475" t="s">
        <v>4692</v>
      </c>
      <c r="K534" s="471"/>
      <c r="L534" s="471"/>
      <c r="M534" s="471"/>
      <c r="N534" s="471"/>
      <c r="O534" s="471"/>
      <c r="P534" s="471"/>
      <c r="Q534" s="471"/>
      <c r="R534" s="471"/>
      <c r="S534" s="471"/>
      <c r="T534" s="471"/>
      <c r="U534" s="471"/>
      <c r="V534" s="471"/>
    </row>
    <row r="535" spans="1:22" ht="15.75" customHeight="1">
      <c r="A535" s="551" t="s">
        <v>4702</v>
      </c>
      <c r="B535" s="552" t="s">
        <v>4703</v>
      </c>
      <c r="C535" s="553" t="s">
        <v>4701</v>
      </c>
      <c r="D535" s="472">
        <v>4.2859999999999996</v>
      </c>
      <c r="E535" s="522">
        <v>3.2890000000000001</v>
      </c>
      <c r="F535" s="523">
        <v>22</v>
      </c>
      <c r="G535" s="524" t="s">
        <v>3663</v>
      </c>
      <c r="H535" s="525" t="s">
        <v>3666</v>
      </c>
      <c r="I535" s="474"/>
      <c r="J535" s="475" t="s">
        <v>4692</v>
      </c>
      <c r="K535" s="471"/>
      <c r="L535" s="471"/>
      <c r="M535" s="471"/>
      <c r="N535" s="471"/>
      <c r="O535" s="471"/>
      <c r="P535" s="471"/>
      <c r="Q535" s="471"/>
      <c r="R535" s="471"/>
      <c r="S535" s="471"/>
      <c r="T535" s="471"/>
      <c r="U535" s="471"/>
      <c r="V535" s="471"/>
    </row>
    <row r="536" spans="1:22" ht="15.75" customHeight="1">
      <c r="A536" s="551" t="s">
        <v>4704</v>
      </c>
      <c r="B536" s="552" t="s">
        <v>4705</v>
      </c>
      <c r="C536" s="553" t="s">
        <v>4701</v>
      </c>
      <c r="D536" s="472">
        <v>4.2859999999999996</v>
      </c>
      <c r="E536" s="522">
        <v>3.2890000000000001</v>
      </c>
      <c r="F536" s="523">
        <v>22</v>
      </c>
      <c r="G536" s="524" t="s">
        <v>3663</v>
      </c>
      <c r="H536" s="525" t="s">
        <v>3666</v>
      </c>
      <c r="I536" s="474"/>
      <c r="J536" s="475" t="s">
        <v>4692</v>
      </c>
      <c r="K536" s="471"/>
      <c r="L536" s="471"/>
      <c r="M536" s="471"/>
      <c r="N536" s="471"/>
      <c r="O536" s="471"/>
      <c r="P536" s="471"/>
      <c r="Q536" s="471"/>
      <c r="R536" s="471"/>
      <c r="S536" s="471"/>
      <c r="T536" s="471"/>
      <c r="U536" s="471"/>
      <c r="V536" s="471"/>
    </row>
    <row r="537" spans="1:22" ht="15.75" customHeight="1">
      <c r="A537" s="548" t="s">
        <v>3856</v>
      </c>
      <c r="B537" s="549" t="s">
        <v>3857</v>
      </c>
      <c r="C537" s="532" t="s">
        <v>213</v>
      </c>
      <c r="D537" s="472">
        <v>55.192999999999998</v>
      </c>
      <c r="E537" s="522">
        <v>42.354999999999997</v>
      </c>
      <c r="F537" s="523" t="s">
        <v>4166</v>
      </c>
      <c r="G537" s="524" t="s">
        <v>3663</v>
      </c>
      <c r="H537" s="525" t="s">
        <v>3666</v>
      </c>
      <c r="I537" s="474"/>
      <c r="J537" s="475" t="s">
        <v>4706</v>
      </c>
      <c r="K537" s="471"/>
      <c r="L537" s="471"/>
      <c r="M537" s="471"/>
      <c r="N537" s="471"/>
      <c r="O537" s="471"/>
      <c r="P537" s="471"/>
      <c r="Q537" s="471"/>
      <c r="R537" s="471"/>
      <c r="S537" s="471"/>
      <c r="T537" s="471"/>
      <c r="U537" s="471"/>
      <c r="V537" s="471"/>
    </row>
    <row r="538" spans="1:22" ht="15.75" customHeight="1">
      <c r="A538" s="548" t="s">
        <v>3858</v>
      </c>
      <c r="B538" s="549" t="s">
        <v>3859</v>
      </c>
      <c r="C538" s="532" t="s">
        <v>213</v>
      </c>
      <c r="D538" s="472">
        <v>13.228999999999999</v>
      </c>
      <c r="E538" s="522">
        <v>10.151999999999999</v>
      </c>
      <c r="F538" s="523" t="s">
        <v>4166</v>
      </c>
      <c r="G538" s="524" t="s">
        <v>3663</v>
      </c>
      <c r="H538" s="525" t="s">
        <v>3666</v>
      </c>
      <c r="I538" s="474"/>
      <c r="J538" s="475" t="s">
        <v>4707</v>
      </c>
      <c r="K538" s="471"/>
      <c r="L538" s="471"/>
      <c r="M538" s="471"/>
      <c r="N538" s="471"/>
      <c r="O538" s="471"/>
      <c r="P538" s="471"/>
      <c r="Q538" s="471"/>
      <c r="R538" s="471"/>
      <c r="S538" s="471"/>
      <c r="T538" s="471"/>
      <c r="U538" s="471"/>
      <c r="V538" s="471"/>
    </row>
    <row r="539" spans="1:22" ht="15.75" customHeight="1">
      <c r="A539" s="548" t="s">
        <v>3860</v>
      </c>
      <c r="B539" s="549" t="s">
        <v>3861</v>
      </c>
      <c r="C539" s="532" t="s">
        <v>213</v>
      </c>
      <c r="D539" s="472">
        <v>2.3340000000000001</v>
      </c>
      <c r="E539" s="522">
        <v>1.7909999999999999</v>
      </c>
      <c r="F539" s="523" t="s">
        <v>4166</v>
      </c>
      <c r="G539" s="524" t="s">
        <v>3663</v>
      </c>
      <c r="H539" s="525" t="s">
        <v>3666</v>
      </c>
      <c r="I539" s="474"/>
      <c r="J539" s="475" t="s">
        <v>4708</v>
      </c>
      <c r="K539" s="471"/>
      <c r="L539" s="471"/>
      <c r="M539" s="471"/>
      <c r="N539" s="471"/>
      <c r="O539" s="471"/>
      <c r="P539" s="471"/>
      <c r="Q539" s="471"/>
      <c r="R539" s="471"/>
      <c r="S539" s="471"/>
      <c r="T539" s="471"/>
      <c r="U539" s="471"/>
      <c r="V539" s="471"/>
    </row>
    <row r="540" spans="1:22" ht="15.75" customHeight="1">
      <c r="A540" s="548" t="s">
        <v>3862</v>
      </c>
      <c r="B540" s="549" t="s">
        <v>3863</v>
      </c>
      <c r="C540" s="532" t="s">
        <v>213</v>
      </c>
      <c r="D540" s="472">
        <v>65.344999999999999</v>
      </c>
      <c r="E540" s="522">
        <v>51.902999999999999</v>
      </c>
      <c r="F540" s="523" t="s">
        <v>4166</v>
      </c>
      <c r="G540" s="524" t="s">
        <v>3663</v>
      </c>
      <c r="H540" s="525" t="s">
        <v>3666</v>
      </c>
      <c r="I540" s="474"/>
      <c r="J540" s="475" t="s">
        <v>4709</v>
      </c>
      <c r="K540" s="471"/>
      <c r="L540" s="471"/>
      <c r="M540" s="471"/>
      <c r="N540" s="471"/>
      <c r="O540" s="471"/>
      <c r="P540" s="471"/>
      <c r="Q540" s="471"/>
      <c r="R540" s="471"/>
      <c r="S540" s="471"/>
      <c r="T540" s="471"/>
      <c r="U540" s="471"/>
      <c r="V540" s="471"/>
    </row>
    <row r="541" spans="1:22" ht="15.75" customHeight="1">
      <c r="A541" s="548" t="s">
        <v>3864</v>
      </c>
      <c r="B541" s="549" t="s">
        <v>3865</v>
      </c>
      <c r="C541" s="532" t="s">
        <v>213</v>
      </c>
      <c r="D541" s="472">
        <v>93.641000000000005</v>
      </c>
      <c r="E541" s="522">
        <v>75.587999999999994</v>
      </c>
      <c r="F541" s="523" t="s">
        <v>4166</v>
      </c>
      <c r="G541" s="524" t="s">
        <v>3663</v>
      </c>
      <c r="H541" s="525" t="s">
        <v>3666</v>
      </c>
      <c r="I541" s="474"/>
      <c r="J541" s="475" t="s">
        <v>4710</v>
      </c>
      <c r="K541" s="471"/>
      <c r="L541" s="471"/>
      <c r="M541" s="471"/>
      <c r="N541" s="471"/>
      <c r="O541" s="471"/>
      <c r="P541" s="471"/>
      <c r="Q541" s="471"/>
      <c r="R541" s="471"/>
      <c r="S541" s="471"/>
      <c r="T541" s="471"/>
      <c r="U541" s="471"/>
      <c r="V541" s="471"/>
    </row>
    <row r="542" spans="1:22" ht="15.75" customHeight="1">
      <c r="A542" s="548" t="s">
        <v>3866</v>
      </c>
      <c r="B542" s="549" t="s">
        <v>3867</v>
      </c>
      <c r="C542" s="532" t="s">
        <v>213</v>
      </c>
      <c r="D542" s="472">
        <v>93.087000000000003</v>
      </c>
      <c r="E542" s="522">
        <v>75.141000000000005</v>
      </c>
      <c r="F542" s="523" t="s">
        <v>4166</v>
      </c>
      <c r="G542" s="524" t="s">
        <v>3663</v>
      </c>
      <c r="H542" s="525" t="s">
        <v>3666</v>
      </c>
      <c r="I542" s="474"/>
      <c r="J542" s="475" t="s">
        <v>4711</v>
      </c>
      <c r="K542" s="471"/>
      <c r="L542" s="471"/>
      <c r="M542" s="471"/>
      <c r="N542" s="471"/>
      <c r="O542" s="471"/>
      <c r="P542" s="471"/>
      <c r="Q542" s="471"/>
      <c r="R542" s="471"/>
      <c r="S542" s="471"/>
      <c r="T542" s="471"/>
      <c r="U542" s="471"/>
      <c r="V542" s="471"/>
    </row>
    <row r="543" spans="1:22" ht="15.75" customHeight="1">
      <c r="A543" s="554" t="s">
        <v>3868</v>
      </c>
      <c r="B543" s="555" t="s">
        <v>3869</v>
      </c>
      <c r="C543" s="532" t="s">
        <v>4158</v>
      </c>
      <c r="D543" s="472">
        <v>9.0990000000000002</v>
      </c>
      <c r="E543" s="522">
        <v>6.9820000000000002</v>
      </c>
      <c r="F543" s="523" t="s">
        <v>4166</v>
      </c>
      <c r="G543" s="524" t="s">
        <v>3663</v>
      </c>
      <c r="H543" s="525" t="s">
        <v>3666</v>
      </c>
      <c r="I543" s="474"/>
      <c r="J543" s="475" t="s">
        <v>4712</v>
      </c>
      <c r="K543" s="471"/>
      <c r="L543" s="471"/>
      <c r="M543" s="471"/>
      <c r="N543" s="471"/>
      <c r="O543" s="471"/>
      <c r="P543" s="471"/>
      <c r="Q543" s="471"/>
      <c r="R543" s="471"/>
      <c r="S543" s="471"/>
      <c r="T543" s="471"/>
      <c r="U543" s="471"/>
      <c r="V543" s="471"/>
    </row>
    <row r="544" spans="1:22" ht="15.75" customHeight="1">
      <c r="A544" s="554" t="s">
        <v>3870</v>
      </c>
      <c r="B544" s="555" t="s">
        <v>3871</v>
      </c>
      <c r="C544" s="532" t="s">
        <v>4158</v>
      </c>
      <c r="D544" s="472">
        <v>9.0990000000000002</v>
      </c>
      <c r="E544" s="522">
        <v>6.9820000000000002</v>
      </c>
      <c r="F544" s="523" t="s">
        <v>4166</v>
      </c>
      <c r="G544" s="524" t="s">
        <v>3663</v>
      </c>
      <c r="H544" s="525" t="s">
        <v>3666</v>
      </c>
      <c r="I544" s="474"/>
      <c r="J544" s="475" t="s">
        <v>4713</v>
      </c>
      <c r="K544" s="471"/>
      <c r="L544" s="471"/>
      <c r="M544" s="471"/>
      <c r="N544" s="471"/>
      <c r="O544" s="471"/>
      <c r="P544" s="471"/>
      <c r="Q544" s="471"/>
      <c r="R544" s="471"/>
      <c r="S544" s="471"/>
      <c r="T544" s="471"/>
      <c r="U544" s="471"/>
      <c r="V544" s="471"/>
    </row>
    <row r="545" spans="1:22" ht="15.75" customHeight="1">
      <c r="A545" s="554" t="s">
        <v>3872</v>
      </c>
      <c r="B545" s="555" t="s">
        <v>3873</v>
      </c>
      <c r="C545" s="532" t="s">
        <v>4158</v>
      </c>
      <c r="D545" s="472">
        <v>8.2509999999999994</v>
      </c>
      <c r="E545" s="522">
        <v>6.3310000000000004</v>
      </c>
      <c r="F545" s="523" t="s">
        <v>4166</v>
      </c>
      <c r="G545" s="524" t="s">
        <v>3663</v>
      </c>
      <c r="H545" s="525" t="s">
        <v>3666</v>
      </c>
      <c r="I545" s="474"/>
      <c r="J545" s="475" t="s">
        <v>4714</v>
      </c>
      <c r="K545" s="471"/>
      <c r="L545" s="471"/>
      <c r="M545" s="471"/>
      <c r="N545" s="471"/>
      <c r="O545" s="471"/>
      <c r="P545" s="471"/>
      <c r="Q545" s="471"/>
      <c r="R545" s="471"/>
      <c r="S545" s="471"/>
      <c r="T545" s="471"/>
      <c r="U545" s="471"/>
      <c r="V545" s="471"/>
    </row>
    <row r="546" spans="1:22" ht="15.75" customHeight="1">
      <c r="A546" s="556" t="s">
        <v>3874</v>
      </c>
      <c r="B546" s="557" t="s">
        <v>4715</v>
      </c>
      <c r="C546" s="558" t="s">
        <v>4701</v>
      </c>
      <c r="D546" s="538" t="e">
        <v>#VALUE!</v>
      </c>
      <c r="E546" s="522" t="e">
        <v>#VALUE!</v>
      </c>
      <c r="F546" s="523" t="s">
        <v>4166</v>
      </c>
      <c r="G546" s="524" t="s">
        <v>3663</v>
      </c>
      <c r="H546" s="525" t="s">
        <v>3666</v>
      </c>
      <c r="I546" s="474"/>
      <c r="J546" s="475" t="s">
        <v>4716</v>
      </c>
      <c r="K546" s="471"/>
      <c r="L546" s="471"/>
      <c r="M546" s="471"/>
      <c r="N546" s="471"/>
      <c r="O546" s="471"/>
      <c r="P546" s="471"/>
      <c r="Q546" s="471"/>
      <c r="R546" s="471"/>
      <c r="S546" s="471"/>
      <c r="T546" s="471"/>
      <c r="U546" s="471"/>
      <c r="V546" s="471"/>
    </row>
    <row r="547" spans="1:22" ht="15.75" customHeight="1">
      <c r="A547" s="556" t="s">
        <v>3875</v>
      </c>
      <c r="B547" s="557" t="s">
        <v>3876</v>
      </c>
      <c r="C547" s="558" t="s">
        <v>4701</v>
      </c>
      <c r="D547" s="538" t="e">
        <v>#VALUE!</v>
      </c>
      <c r="E547" s="522" t="e">
        <v>#VALUE!</v>
      </c>
      <c r="F547" s="523" t="s">
        <v>4166</v>
      </c>
      <c r="G547" s="524" t="s">
        <v>3663</v>
      </c>
      <c r="H547" s="525" t="s">
        <v>3666</v>
      </c>
      <c r="I547" s="474"/>
      <c r="J547" s="475" t="s">
        <v>4717</v>
      </c>
      <c r="K547" s="471"/>
      <c r="L547" s="471"/>
      <c r="M547" s="471"/>
      <c r="N547" s="471"/>
      <c r="O547" s="471"/>
      <c r="P547" s="471"/>
      <c r="Q547" s="471"/>
      <c r="R547" s="471"/>
      <c r="S547" s="471"/>
      <c r="T547" s="471"/>
      <c r="U547" s="471"/>
      <c r="V547" s="471"/>
    </row>
    <row r="548" spans="1:22" ht="15.75" customHeight="1">
      <c r="A548" s="556" t="s">
        <v>3877</v>
      </c>
      <c r="B548" s="557" t="s">
        <v>3878</v>
      </c>
      <c r="C548" s="558" t="s">
        <v>4701</v>
      </c>
      <c r="D548" s="538" t="e">
        <v>#VALUE!</v>
      </c>
      <c r="E548" s="522" t="e">
        <v>#VALUE!</v>
      </c>
      <c r="F548" s="523" t="s">
        <v>4166</v>
      </c>
      <c r="G548" s="524" t="s">
        <v>3663</v>
      </c>
      <c r="H548" s="525" t="s">
        <v>3666</v>
      </c>
      <c r="I548" s="474"/>
      <c r="J548" s="475" t="s">
        <v>4718</v>
      </c>
      <c r="K548" s="471"/>
      <c r="L548" s="471"/>
      <c r="M548" s="471"/>
      <c r="N548" s="471"/>
      <c r="O548" s="471"/>
      <c r="P548" s="471"/>
      <c r="Q548" s="471"/>
      <c r="R548" s="471"/>
      <c r="S548" s="471"/>
      <c r="T548" s="471"/>
      <c r="U548" s="471"/>
      <c r="V548" s="471"/>
    </row>
    <row r="549" spans="1:22" ht="15.75" customHeight="1">
      <c r="A549" s="556" t="s">
        <v>3879</v>
      </c>
      <c r="B549" s="557" t="s">
        <v>3880</v>
      </c>
      <c r="C549" s="558" t="s">
        <v>4701</v>
      </c>
      <c r="D549" s="538" t="e">
        <v>#VALUE!</v>
      </c>
      <c r="E549" s="522" t="e">
        <v>#VALUE!</v>
      </c>
      <c r="F549" s="523" t="s">
        <v>4166</v>
      </c>
      <c r="G549" s="524" t="s">
        <v>3663</v>
      </c>
      <c r="H549" s="525" t="s">
        <v>3666</v>
      </c>
      <c r="I549" s="474"/>
      <c r="J549" s="475" t="s">
        <v>4719</v>
      </c>
      <c r="K549" s="471"/>
      <c r="L549" s="471"/>
      <c r="M549" s="471"/>
      <c r="N549" s="471"/>
      <c r="O549" s="471"/>
      <c r="P549" s="471"/>
      <c r="Q549" s="471"/>
      <c r="R549" s="471"/>
      <c r="S549" s="471"/>
      <c r="T549" s="471"/>
      <c r="U549" s="471"/>
      <c r="V549" s="471"/>
    </row>
    <row r="550" spans="1:22" ht="15.75" customHeight="1">
      <c r="A550" s="556" t="s">
        <v>3881</v>
      </c>
      <c r="B550" s="557" t="s">
        <v>4720</v>
      </c>
      <c r="C550" s="558" t="s">
        <v>4701</v>
      </c>
      <c r="D550" s="538" t="e">
        <v>#VALUE!</v>
      </c>
      <c r="E550" s="522" t="e">
        <v>#VALUE!</v>
      </c>
      <c r="F550" s="523" t="s">
        <v>4166</v>
      </c>
      <c r="G550" s="524" t="s">
        <v>3663</v>
      </c>
      <c r="H550" s="525" t="s">
        <v>3666</v>
      </c>
      <c r="I550" s="474"/>
      <c r="J550" s="475" t="s">
        <v>4721</v>
      </c>
      <c r="K550" s="471"/>
      <c r="L550" s="471"/>
      <c r="M550" s="471"/>
      <c r="N550" s="471"/>
      <c r="O550" s="471"/>
      <c r="P550" s="471"/>
      <c r="Q550" s="471"/>
      <c r="R550" s="471"/>
      <c r="S550" s="471"/>
      <c r="T550" s="471"/>
      <c r="U550" s="471"/>
      <c r="V550" s="471"/>
    </row>
    <row r="551" spans="1:22" ht="15.75" customHeight="1">
      <c r="A551" s="556" t="s">
        <v>3882</v>
      </c>
      <c r="B551" s="557" t="s">
        <v>4722</v>
      </c>
      <c r="C551" s="558" t="s">
        <v>4701</v>
      </c>
      <c r="D551" s="538" t="e">
        <v>#VALUE!</v>
      </c>
      <c r="E551" s="522" t="e">
        <v>#VALUE!</v>
      </c>
      <c r="F551" s="523" t="s">
        <v>4166</v>
      </c>
      <c r="G551" s="524" t="s">
        <v>3663</v>
      </c>
      <c r="H551" s="525" t="s">
        <v>3666</v>
      </c>
      <c r="I551" s="474"/>
      <c r="J551" s="475" t="s">
        <v>4723</v>
      </c>
      <c r="K551" s="471"/>
      <c r="L551" s="471"/>
      <c r="M551" s="471"/>
      <c r="N551" s="471"/>
      <c r="O551" s="471"/>
      <c r="P551" s="471"/>
      <c r="Q551" s="471"/>
      <c r="R551" s="471"/>
      <c r="S551" s="471"/>
      <c r="T551" s="471"/>
      <c r="U551" s="471"/>
      <c r="V551" s="471"/>
    </row>
    <row r="552" spans="1:22" ht="15.75" customHeight="1">
      <c r="A552" s="556" t="s">
        <v>3883</v>
      </c>
      <c r="B552" s="557" t="s">
        <v>4724</v>
      </c>
      <c r="C552" s="558" t="s">
        <v>4701</v>
      </c>
      <c r="D552" s="538" t="e">
        <v>#VALUE!</v>
      </c>
      <c r="E552" s="522" t="e">
        <v>#VALUE!</v>
      </c>
      <c r="F552" s="523" t="s">
        <v>4166</v>
      </c>
      <c r="G552" s="524" t="s">
        <v>3663</v>
      </c>
      <c r="H552" s="525" t="s">
        <v>3666</v>
      </c>
      <c r="I552" s="474"/>
      <c r="J552" s="475" t="s">
        <v>4725</v>
      </c>
      <c r="K552" s="471"/>
      <c r="L552" s="471"/>
      <c r="M552" s="471"/>
      <c r="N552" s="471"/>
      <c r="O552" s="471"/>
      <c r="P552" s="471"/>
      <c r="Q552" s="471"/>
      <c r="R552" s="471"/>
      <c r="S552" s="471"/>
      <c r="T552" s="471"/>
      <c r="U552" s="471"/>
      <c r="V552" s="471"/>
    </row>
    <row r="553" spans="1:22" ht="15.75" customHeight="1">
      <c r="A553" s="556" t="s">
        <v>3884</v>
      </c>
      <c r="B553" s="557" t="s">
        <v>3885</v>
      </c>
      <c r="C553" s="558" t="s">
        <v>4701</v>
      </c>
      <c r="D553" s="538" t="e">
        <v>#VALUE!</v>
      </c>
      <c r="E553" s="522" t="e">
        <v>#VALUE!</v>
      </c>
      <c r="F553" s="523" t="s">
        <v>4166</v>
      </c>
      <c r="G553" s="524" t="s">
        <v>3663</v>
      </c>
      <c r="H553" s="525" t="s">
        <v>3666</v>
      </c>
      <c r="I553" s="474"/>
      <c r="J553" s="475" t="s">
        <v>4726</v>
      </c>
      <c r="K553" s="471"/>
      <c r="L553" s="471"/>
      <c r="M553" s="471"/>
      <c r="N553" s="471"/>
      <c r="O553" s="471"/>
      <c r="P553" s="471"/>
      <c r="Q553" s="471"/>
      <c r="R553" s="471"/>
      <c r="S553" s="471"/>
      <c r="T553" s="471"/>
      <c r="U553" s="471"/>
      <c r="V553" s="471"/>
    </row>
    <row r="554" spans="1:22" ht="15.75" customHeight="1">
      <c r="A554" s="556" t="s">
        <v>3886</v>
      </c>
      <c r="B554" s="557" t="s">
        <v>3887</v>
      </c>
      <c r="C554" s="558" t="s">
        <v>4701</v>
      </c>
      <c r="D554" s="538" t="e">
        <v>#VALUE!</v>
      </c>
      <c r="E554" s="522" t="e">
        <v>#VALUE!</v>
      </c>
      <c r="F554" s="523" t="s">
        <v>4166</v>
      </c>
      <c r="G554" s="524" t="s">
        <v>3663</v>
      </c>
      <c r="H554" s="525" t="s">
        <v>3666</v>
      </c>
      <c r="I554" s="474"/>
      <c r="J554" s="475" t="s">
        <v>4727</v>
      </c>
      <c r="K554" s="471"/>
      <c r="L554" s="471"/>
      <c r="M554" s="471"/>
      <c r="N554" s="471"/>
      <c r="O554" s="471"/>
      <c r="P554" s="471"/>
      <c r="Q554" s="471"/>
      <c r="R554" s="471"/>
      <c r="S554" s="471"/>
      <c r="T554" s="471"/>
      <c r="U554" s="471"/>
      <c r="V554" s="471"/>
    </row>
    <row r="555" spans="1:22" ht="15.75" customHeight="1">
      <c r="A555" s="556" t="s">
        <v>4728</v>
      </c>
      <c r="B555" s="557" t="s">
        <v>4729</v>
      </c>
      <c r="C555" s="558" t="s">
        <v>4701</v>
      </c>
      <c r="D555" s="538" t="e">
        <v>#VALUE!</v>
      </c>
      <c r="E555" s="522" t="e">
        <v>#VALUE!</v>
      </c>
      <c r="F555" s="523" t="s">
        <v>4166</v>
      </c>
      <c r="G555" s="524" t="s">
        <v>3663</v>
      </c>
      <c r="H555" s="525" t="s">
        <v>3666</v>
      </c>
      <c r="I555" s="474"/>
      <c r="J555" s="475" t="s">
        <v>4716</v>
      </c>
      <c r="K555" s="471"/>
      <c r="L555" s="471"/>
      <c r="M555" s="471"/>
      <c r="N555" s="471"/>
      <c r="O555" s="471"/>
      <c r="P555" s="471"/>
      <c r="Q555" s="471"/>
      <c r="R555" s="471"/>
      <c r="S555" s="471"/>
      <c r="T555" s="471"/>
      <c r="U555" s="471"/>
      <c r="V555" s="471"/>
    </row>
    <row r="556" spans="1:22" ht="15.75" customHeight="1">
      <c r="A556" s="556" t="s">
        <v>4730</v>
      </c>
      <c r="B556" s="557" t="s">
        <v>4731</v>
      </c>
      <c r="C556" s="558" t="s">
        <v>4701</v>
      </c>
      <c r="D556" s="538" t="e">
        <v>#VALUE!</v>
      </c>
      <c r="E556" s="522" t="e">
        <v>#VALUE!</v>
      </c>
      <c r="F556" s="523" t="s">
        <v>4166</v>
      </c>
      <c r="G556" s="524" t="s">
        <v>3663</v>
      </c>
      <c r="H556" s="525" t="s">
        <v>3666</v>
      </c>
      <c r="I556" s="474"/>
      <c r="J556" s="475" t="s">
        <v>4717</v>
      </c>
      <c r="K556" s="471"/>
      <c r="L556" s="471"/>
      <c r="M556" s="471"/>
      <c r="N556" s="471"/>
      <c r="O556" s="471"/>
      <c r="P556" s="471"/>
      <c r="Q556" s="471"/>
      <c r="R556" s="471"/>
      <c r="S556" s="471"/>
      <c r="T556" s="471"/>
      <c r="U556" s="471"/>
      <c r="V556" s="471"/>
    </row>
    <row r="557" spans="1:22" ht="15.75" customHeight="1">
      <c r="A557" s="556" t="s">
        <v>4732</v>
      </c>
      <c r="B557" s="557" t="s">
        <v>4733</v>
      </c>
      <c r="C557" s="558" t="s">
        <v>4701</v>
      </c>
      <c r="D557" s="538" t="e">
        <v>#VALUE!</v>
      </c>
      <c r="E557" s="522" t="e">
        <v>#VALUE!</v>
      </c>
      <c r="F557" s="523" t="s">
        <v>4166</v>
      </c>
      <c r="G557" s="524" t="s">
        <v>3663</v>
      </c>
      <c r="H557" s="525" t="s">
        <v>3666</v>
      </c>
      <c r="I557" s="474"/>
      <c r="J557" s="475" t="s">
        <v>4725</v>
      </c>
      <c r="K557" s="471"/>
      <c r="L557" s="471"/>
      <c r="M557" s="471"/>
      <c r="N557" s="471"/>
      <c r="O557" s="471"/>
      <c r="P557" s="471"/>
      <c r="Q557" s="471"/>
      <c r="R557" s="471"/>
      <c r="S557" s="471"/>
      <c r="T557" s="471"/>
      <c r="U557" s="471"/>
      <c r="V557" s="471"/>
    </row>
    <row r="558" spans="1:22" ht="15.75" customHeight="1">
      <c r="A558" s="559" t="s">
        <v>3169</v>
      </c>
      <c r="B558" s="560" t="s">
        <v>3170</v>
      </c>
      <c r="C558" s="561" t="s">
        <v>213</v>
      </c>
      <c r="D558" s="472">
        <v>6.6219999999999999</v>
      </c>
      <c r="E558" s="522">
        <v>6.1779999999999999</v>
      </c>
      <c r="F558" s="523" t="s">
        <v>4166</v>
      </c>
      <c r="G558" s="524" t="s">
        <v>3663</v>
      </c>
      <c r="H558" s="525" t="s">
        <v>3666</v>
      </c>
      <c r="I558" s="474"/>
      <c r="J558" s="475" t="s">
        <v>4734</v>
      </c>
      <c r="K558" s="471"/>
      <c r="L558" s="471"/>
      <c r="M558" s="471"/>
      <c r="N558" s="471"/>
      <c r="O558" s="471"/>
      <c r="P558" s="471"/>
      <c r="Q558" s="471"/>
      <c r="R558" s="471"/>
      <c r="S558" s="471"/>
      <c r="T558" s="471"/>
      <c r="U558" s="471"/>
      <c r="V558" s="471"/>
    </row>
    <row r="559" spans="1:22" ht="15.75" customHeight="1">
      <c r="A559" s="559" t="s">
        <v>3171</v>
      </c>
      <c r="B559" s="560" t="s">
        <v>3172</v>
      </c>
      <c r="C559" s="561" t="s">
        <v>213</v>
      </c>
      <c r="D559" s="472">
        <v>0</v>
      </c>
      <c r="E559" s="522">
        <v>0</v>
      </c>
      <c r="F559" s="523" t="s">
        <v>4166</v>
      </c>
      <c r="G559" s="524" t="s">
        <v>3663</v>
      </c>
      <c r="H559" s="525" t="s">
        <v>3666</v>
      </c>
      <c r="I559" s="474"/>
      <c r="J559" s="475" t="s">
        <v>4735</v>
      </c>
      <c r="K559" s="471"/>
      <c r="L559" s="471"/>
      <c r="M559" s="471"/>
      <c r="N559" s="471"/>
      <c r="O559" s="471"/>
      <c r="P559" s="471"/>
      <c r="Q559" s="471"/>
      <c r="R559" s="471"/>
      <c r="S559" s="471"/>
      <c r="T559" s="471"/>
      <c r="U559" s="471"/>
      <c r="V559" s="471"/>
    </row>
    <row r="560" spans="1:22" ht="15.75" customHeight="1">
      <c r="A560" s="559" t="s">
        <v>3173</v>
      </c>
      <c r="B560" s="560" t="s">
        <v>3174</v>
      </c>
      <c r="C560" s="559" t="s">
        <v>213</v>
      </c>
      <c r="D560" s="472">
        <v>10.265000000000001</v>
      </c>
      <c r="E560" s="522">
        <v>9.5719999999999992</v>
      </c>
      <c r="F560" s="523" t="s">
        <v>4166</v>
      </c>
      <c r="G560" s="524" t="s">
        <v>3663</v>
      </c>
      <c r="H560" s="525" t="s">
        <v>3666</v>
      </c>
      <c r="I560" s="474"/>
      <c r="J560" s="475" t="s">
        <v>4736</v>
      </c>
    </row>
    <row r="561" spans="1:10" ht="14.25" customHeight="1">
      <c r="A561" s="559" t="s">
        <v>3175</v>
      </c>
      <c r="B561" s="560" t="s">
        <v>3176</v>
      </c>
      <c r="C561" s="559" t="s">
        <v>213</v>
      </c>
      <c r="D561" s="472">
        <v>8.5809999999999995</v>
      </c>
      <c r="E561" s="522">
        <v>7.3049999999999997</v>
      </c>
      <c r="F561" s="523" t="s">
        <v>4166</v>
      </c>
      <c r="G561" s="524" t="s">
        <v>3663</v>
      </c>
      <c r="H561" s="525" t="s">
        <v>3666</v>
      </c>
      <c r="I561" s="474"/>
      <c r="J561" s="475" t="s">
        <v>4737</v>
      </c>
    </row>
    <row r="562" spans="1:10" ht="14.25" customHeight="1">
      <c r="A562" s="559" t="s">
        <v>3177</v>
      </c>
      <c r="B562" s="560" t="s">
        <v>3178</v>
      </c>
      <c r="C562" s="559" t="s">
        <v>213</v>
      </c>
      <c r="D562" s="472">
        <v>10.265000000000001</v>
      </c>
      <c r="E562" s="522">
        <v>9.5719999999999992</v>
      </c>
      <c r="F562" s="523" t="s">
        <v>4166</v>
      </c>
      <c r="G562" s="524" t="s">
        <v>3663</v>
      </c>
      <c r="H562" s="525" t="s">
        <v>3666</v>
      </c>
      <c r="I562" s="474"/>
      <c r="J562" s="475" t="s">
        <v>4738</v>
      </c>
    </row>
    <row r="563" spans="1:10" ht="14.25" customHeight="1">
      <c r="A563" s="559" t="s">
        <v>3179</v>
      </c>
      <c r="B563" s="560" t="s">
        <v>3180</v>
      </c>
      <c r="C563" s="559" t="s">
        <v>213</v>
      </c>
      <c r="D563" s="472">
        <v>26.44</v>
      </c>
      <c r="E563" s="522">
        <v>24.661000000000001</v>
      </c>
      <c r="F563" s="523" t="s">
        <v>4166</v>
      </c>
      <c r="G563" s="524" t="s">
        <v>3663</v>
      </c>
      <c r="H563" s="525" t="s">
        <v>3666</v>
      </c>
      <c r="I563" s="474"/>
      <c r="J563" s="475" t="s">
        <v>4739</v>
      </c>
    </row>
    <row r="564" spans="1:10" ht="14.25" customHeight="1">
      <c r="A564" s="559" t="s">
        <v>3181</v>
      </c>
      <c r="B564" s="560" t="s">
        <v>3182</v>
      </c>
      <c r="C564" s="559" t="s">
        <v>213</v>
      </c>
      <c r="D564" s="472">
        <v>26.44</v>
      </c>
      <c r="E564" s="522">
        <v>24.661000000000001</v>
      </c>
      <c r="F564" s="523" t="s">
        <v>4166</v>
      </c>
      <c r="G564" s="524" t="s">
        <v>3663</v>
      </c>
      <c r="H564" s="525" t="s">
        <v>3666</v>
      </c>
      <c r="I564" s="474"/>
      <c r="J564" s="475" t="s">
        <v>4740</v>
      </c>
    </row>
    <row r="565" spans="1:10" ht="14.25" customHeight="1">
      <c r="A565" s="559" t="s">
        <v>3183</v>
      </c>
      <c r="B565" s="560" t="s">
        <v>3184</v>
      </c>
      <c r="C565" s="559" t="s">
        <v>213</v>
      </c>
      <c r="D565" s="472">
        <v>32.533000000000001</v>
      </c>
      <c r="E565" s="522">
        <v>30.341999999999999</v>
      </c>
      <c r="F565" s="523" t="s">
        <v>4166</v>
      </c>
      <c r="G565" s="524" t="s">
        <v>3663</v>
      </c>
      <c r="H565" s="525" t="s">
        <v>3666</v>
      </c>
      <c r="I565" s="474"/>
      <c r="J565" s="475" t="s">
        <v>4741</v>
      </c>
    </row>
    <row r="566" spans="1:10" ht="14.25" customHeight="1">
      <c r="A566" s="559" t="s">
        <v>3185</v>
      </c>
      <c r="B566" s="560" t="s">
        <v>3186</v>
      </c>
      <c r="C566" s="559" t="s">
        <v>213</v>
      </c>
      <c r="D566" s="472">
        <v>32.533000000000001</v>
      </c>
      <c r="E566" s="522">
        <v>30.317</v>
      </c>
      <c r="F566" s="523" t="s">
        <v>4166</v>
      </c>
      <c r="G566" s="524" t="s">
        <v>3663</v>
      </c>
      <c r="H566" s="525" t="s">
        <v>3666</v>
      </c>
      <c r="I566" s="474"/>
      <c r="J566" s="475" t="s">
        <v>4742</v>
      </c>
    </row>
    <row r="567" spans="1:10" ht="14.25" customHeight="1">
      <c r="A567" s="520" t="s">
        <v>942</v>
      </c>
      <c r="B567" s="521" t="s">
        <v>943</v>
      </c>
      <c r="C567" s="520" t="s">
        <v>213</v>
      </c>
      <c r="D567" s="472">
        <v>5.1159999999999997</v>
      </c>
      <c r="E567" s="522">
        <v>4.7690000000000001</v>
      </c>
      <c r="F567" s="523" t="s">
        <v>4166</v>
      </c>
      <c r="G567" s="524" t="s">
        <v>3663</v>
      </c>
      <c r="H567" s="525" t="s">
        <v>3666</v>
      </c>
      <c r="I567" s="474"/>
      <c r="J567" s="475" t="s">
        <v>4743</v>
      </c>
    </row>
    <row r="568" spans="1:10" ht="14.25" customHeight="1">
      <c r="A568" s="520" t="s">
        <v>944</v>
      </c>
      <c r="B568" s="521" t="s">
        <v>945</v>
      </c>
      <c r="C568" s="520" t="s">
        <v>213</v>
      </c>
      <c r="D568" s="472">
        <v>3.67</v>
      </c>
      <c r="E568" s="522">
        <v>3.42</v>
      </c>
      <c r="F568" s="523" t="s">
        <v>4166</v>
      </c>
      <c r="G568" s="524" t="s">
        <v>3663</v>
      </c>
      <c r="H568" s="525" t="s">
        <v>3666</v>
      </c>
      <c r="I568" s="474"/>
      <c r="J568" s="475" t="s">
        <v>4744</v>
      </c>
    </row>
    <row r="569" spans="1:10" ht="14.25" customHeight="1">
      <c r="A569" s="520" t="s">
        <v>946</v>
      </c>
      <c r="B569" s="521" t="s">
        <v>947</v>
      </c>
      <c r="C569" s="520" t="s">
        <v>213</v>
      </c>
      <c r="D569" s="472">
        <v>5.1159999999999997</v>
      </c>
      <c r="E569" s="522">
        <v>4.7690000000000001</v>
      </c>
      <c r="F569" s="523" t="s">
        <v>4166</v>
      </c>
      <c r="G569" s="524" t="s">
        <v>3663</v>
      </c>
      <c r="H569" s="525" t="s">
        <v>3666</v>
      </c>
      <c r="I569" s="474"/>
      <c r="J569" s="475" t="s">
        <v>4745</v>
      </c>
    </row>
    <row r="570" spans="1:10" ht="14.25" customHeight="1">
      <c r="A570" s="520" t="s">
        <v>948</v>
      </c>
      <c r="B570" s="521" t="s">
        <v>949</v>
      </c>
      <c r="C570" s="520" t="s">
        <v>213</v>
      </c>
      <c r="D570" s="472">
        <v>3.67</v>
      </c>
      <c r="E570" s="522">
        <v>3.42</v>
      </c>
      <c r="F570" s="523" t="s">
        <v>4166</v>
      </c>
      <c r="G570" s="524" t="s">
        <v>3663</v>
      </c>
      <c r="H570" s="525" t="s">
        <v>3666</v>
      </c>
      <c r="I570" s="474"/>
      <c r="J570" s="475" t="s">
        <v>4746</v>
      </c>
    </row>
    <row r="571" spans="1:10" ht="14.25" customHeight="1">
      <c r="A571" s="520" t="s">
        <v>950</v>
      </c>
      <c r="B571" s="521" t="s">
        <v>951</v>
      </c>
      <c r="C571" s="520" t="s">
        <v>213</v>
      </c>
      <c r="D571" s="472">
        <v>1.581</v>
      </c>
      <c r="E571" s="522">
        <v>1.4630000000000001</v>
      </c>
      <c r="F571" s="523" t="s">
        <v>4166</v>
      </c>
      <c r="G571" s="524" t="s">
        <v>3663</v>
      </c>
      <c r="H571" s="525" t="s">
        <v>3666</v>
      </c>
      <c r="I571" s="474"/>
      <c r="J571" s="475" t="s">
        <v>4747</v>
      </c>
    </row>
    <row r="572" spans="1:10" ht="14.25" customHeight="1">
      <c r="A572" s="520" t="s">
        <v>952</v>
      </c>
      <c r="B572" s="521" t="s">
        <v>953</v>
      </c>
      <c r="C572" s="520" t="s">
        <v>213</v>
      </c>
      <c r="D572" s="472">
        <v>1.377</v>
      </c>
      <c r="E572" s="522">
        <v>1.27</v>
      </c>
      <c r="F572" s="523" t="s">
        <v>4166</v>
      </c>
      <c r="G572" s="524" t="s">
        <v>3663</v>
      </c>
      <c r="H572" s="525" t="s">
        <v>3666</v>
      </c>
      <c r="I572" s="474"/>
      <c r="J572" s="475" t="s">
        <v>4748</v>
      </c>
    </row>
    <row r="573" spans="1:10" ht="14.25" customHeight="1">
      <c r="A573" s="520" t="s">
        <v>954</v>
      </c>
      <c r="B573" s="521" t="s">
        <v>955</v>
      </c>
      <c r="C573" s="520" t="s">
        <v>213</v>
      </c>
      <c r="D573" s="472">
        <v>0.39500000000000002</v>
      </c>
      <c r="E573" s="522">
        <v>0.36699999999999999</v>
      </c>
      <c r="F573" s="523" t="s">
        <v>4166</v>
      </c>
      <c r="G573" s="524" t="s">
        <v>3663</v>
      </c>
      <c r="H573" s="525" t="s">
        <v>3666</v>
      </c>
      <c r="I573" s="474"/>
      <c r="J573" s="475" t="s">
        <v>4749</v>
      </c>
    </row>
    <row r="574" spans="1:10" ht="14.25" customHeight="1">
      <c r="A574" s="520" t="s">
        <v>956</v>
      </c>
      <c r="B574" s="521" t="s">
        <v>957</v>
      </c>
      <c r="C574" s="520" t="s">
        <v>213</v>
      </c>
      <c r="D574" s="472">
        <v>0.20799999999999999</v>
      </c>
      <c r="E574" s="522">
        <v>0.19400000000000001</v>
      </c>
      <c r="F574" s="523" t="s">
        <v>4166</v>
      </c>
      <c r="G574" s="524" t="s">
        <v>3663</v>
      </c>
      <c r="H574" s="525" t="s">
        <v>3666</v>
      </c>
      <c r="I574" s="474"/>
      <c r="J574" s="475" t="s">
        <v>4750</v>
      </c>
    </row>
    <row r="575" spans="1:10" ht="14.25" customHeight="1">
      <c r="A575" s="520" t="s">
        <v>958</v>
      </c>
      <c r="B575" s="521" t="s">
        <v>959</v>
      </c>
      <c r="C575" s="520" t="s">
        <v>213</v>
      </c>
      <c r="D575" s="472">
        <v>1.581</v>
      </c>
      <c r="E575" s="522">
        <v>1.4630000000000001</v>
      </c>
      <c r="F575" s="523" t="s">
        <v>4166</v>
      </c>
      <c r="G575" s="524" t="s">
        <v>3663</v>
      </c>
      <c r="H575" s="525" t="s">
        <v>3666</v>
      </c>
      <c r="I575" s="474"/>
      <c r="J575" s="475" t="s">
        <v>4751</v>
      </c>
    </row>
    <row r="576" spans="1:10" ht="14.25" customHeight="1">
      <c r="A576" s="520" t="s">
        <v>960</v>
      </c>
      <c r="B576" s="521" t="s">
        <v>961</v>
      </c>
      <c r="C576" s="520" t="s">
        <v>213</v>
      </c>
      <c r="D576" s="472">
        <v>1.365</v>
      </c>
      <c r="E576" s="522">
        <v>1.2609999999999999</v>
      </c>
      <c r="F576" s="523" t="s">
        <v>4166</v>
      </c>
      <c r="G576" s="524" t="s">
        <v>3663</v>
      </c>
      <c r="H576" s="525" t="s">
        <v>3666</v>
      </c>
      <c r="I576" s="474"/>
      <c r="J576" s="475" t="s">
        <v>4752</v>
      </c>
    </row>
    <row r="577" spans="1:10" ht="14.25" customHeight="1">
      <c r="A577" s="520" t="s">
        <v>962</v>
      </c>
      <c r="B577" s="521" t="s">
        <v>963</v>
      </c>
      <c r="C577" s="520" t="s">
        <v>213</v>
      </c>
      <c r="D577" s="472">
        <v>0.39500000000000002</v>
      </c>
      <c r="E577" s="522">
        <v>0.36699999999999999</v>
      </c>
      <c r="F577" s="523" t="s">
        <v>4166</v>
      </c>
      <c r="G577" s="524" t="s">
        <v>3663</v>
      </c>
      <c r="H577" s="525" t="s">
        <v>3666</v>
      </c>
      <c r="I577" s="474"/>
      <c r="J577" s="475" t="s">
        <v>4753</v>
      </c>
    </row>
    <row r="578" spans="1:10" ht="14.25" customHeight="1">
      <c r="A578" s="520" t="s">
        <v>964</v>
      </c>
      <c r="B578" s="521" t="s">
        <v>965</v>
      </c>
      <c r="C578" s="520" t="s">
        <v>213</v>
      </c>
      <c r="D578" s="472">
        <v>0.20599999999999999</v>
      </c>
      <c r="E578" s="522">
        <v>0.19400000000000001</v>
      </c>
      <c r="F578" s="523" t="s">
        <v>4166</v>
      </c>
      <c r="G578" s="524" t="s">
        <v>3663</v>
      </c>
      <c r="H578" s="525" t="s">
        <v>3666</v>
      </c>
      <c r="I578" s="474"/>
      <c r="J578" s="475" t="s">
        <v>4754</v>
      </c>
    </row>
    <row r="579" spans="1:10" ht="14.25" customHeight="1">
      <c r="A579" s="520" t="s">
        <v>966</v>
      </c>
      <c r="B579" s="521" t="s">
        <v>967</v>
      </c>
      <c r="C579" s="520" t="s">
        <v>213</v>
      </c>
      <c r="D579" s="472">
        <v>21.495999999999999</v>
      </c>
      <c r="E579" s="522">
        <v>20.048999999999999</v>
      </c>
      <c r="F579" s="523" t="s">
        <v>4166</v>
      </c>
      <c r="G579" s="524" t="s">
        <v>3663</v>
      </c>
      <c r="H579" s="525" t="s">
        <v>3666</v>
      </c>
      <c r="I579" s="474"/>
      <c r="J579" s="475" t="s">
        <v>4755</v>
      </c>
    </row>
    <row r="580" spans="1:10" ht="14.25" customHeight="1">
      <c r="A580" s="520" t="s">
        <v>968</v>
      </c>
      <c r="B580" s="521" t="s">
        <v>969</v>
      </c>
      <c r="C580" s="520" t="s">
        <v>213</v>
      </c>
      <c r="D580" s="472">
        <v>27.03</v>
      </c>
      <c r="E580" s="522">
        <v>25.202999999999999</v>
      </c>
      <c r="F580" s="523" t="s">
        <v>4166</v>
      </c>
      <c r="G580" s="524" t="s">
        <v>3663</v>
      </c>
      <c r="H580" s="525" t="s">
        <v>3666</v>
      </c>
      <c r="I580" s="474"/>
      <c r="J580" s="475" t="s">
        <v>4756</v>
      </c>
    </row>
    <row r="581" spans="1:10" ht="14.25" customHeight="1">
      <c r="A581" s="559" t="s">
        <v>3187</v>
      </c>
      <c r="B581" s="560" t="s">
        <v>3188</v>
      </c>
      <c r="C581" s="559" t="s">
        <v>213</v>
      </c>
      <c r="D581" s="472">
        <v>9.327</v>
      </c>
      <c r="E581" s="522">
        <v>8.6989999999999998</v>
      </c>
      <c r="F581" s="523" t="s">
        <v>4166</v>
      </c>
      <c r="G581" s="524" t="s">
        <v>3663</v>
      </c>
      <c r="H581" s="525" t="s">
        <v>3666</v>
      </c>
      <c r="I581" s="474"/>
      <c r="J581" s="475" t="s">
        <v>4757</v>
      </c>
    </row>
    <row r="582" spans="1:10" ht="14.25" customHeight="1">
      <c r="A582" s="559" t="s">
        <v>3189</v>
      </c>
      <c r="B582" s="560" t="s">
        <v>3190</v>
      </c>
      <c r="C582" s="559" t="s">
        <v>213</v>
      </c>
      <c r="D582" s="472">
        <v>7.6529999999999996</v>
      </c>
      <c r="E582" s="522">
        <v>7.1360000000000001</v>
      </c>
      <c r="F582" s="523" t="s">
        <v>4166</v>
      </c>
      <c r="G582" s="524" t="s">
        <v>3663</v>
      </c>
      <c r="H582" s="525" t="s">
        <v>3666</v>
      </c>
      <c r="I582" s="474"/>
      <c r="J582" s="475" t="s">
        <v>4758</v>
      </c>
    </row>
    <row r="583" spans="1:10" ht="14.25" customHeight="1">
      <c r="A583" s="559" t="s">
        <v>3191</v>
      </c>
      <c r="B583" s="560" t="s">
        <v>3192</v>
      </c>
      <c r="C583" s="559" t="s">
        <v>213</v>
      </c>
      <c r="D583" s="472">
        <v>24.04</v>
      </c>
      <c r="E583" s="522">
        <v>22.425000000000001</v>
      </c>
      <c r="F583" s="523" t="s">
        <v>4166</v>
      </c>
      <c r="G583" s="524" t="s">
        <v>3663</v>
      </c>
      <c r="H583" s="525" t="s">
        <v>3666</v>
      </c>
      <c r="I583" s="474"/>
      <c r="J583" s="475" t="s">
        <v>4759</v>
      </c>
    </row>
    <row r="584" spans="1:10" ht="14.25" customHeight="1">
      <c r="A584" s="559" t="s">
        <v>3193</v>
      </c>
      <c r="B584" s="560" t="s">
        <v>3194</v>
      </c>
      <c r="C584" s="559" t="s">
        <v>213</v>
      </c>
      <c r="D584" s="472">
        <v>2.3740000000000001</v>
      </c>
      <c r="E584" s="522">
        <v>2.2130000000000001</v>
      </c>
      <c r="F584" s="523" t="s">
        <v>4166</v>
      </c>
      <c r="G584" s="524" t="s">
        <v>3663</v>
      </c>
      <c r="H584" s="525" t="s">
        <v>3666</v>
      </c>
      <c r="I584" s="474"/>
      <c r="J584" s="475" t="s">
        <v>4760</v>
      </c>
    </row>
    <row r="585" spans="1:10" ht="14.25" customHeight="1">
      <c r="A585" s="559" t="s">
        <v>3195</v>
      </c>
      <c r="B585" s="560" t="s">
        <v>3196</v>
      </c>
      <c r="C585" s="559" t="s">
        <v>213</v>
      </c>
      <c r="D585" s="472">
        <v>9.984</v>
      </c>
      <c r="E585" s="522">
        <v>9.3109999999999999</v>
      </c>
      <c r="F585" s="523" t="s">
        <v>4166</v>
      </c>
      <c r="G585" s="524" t="s">
        <v>3663</v>
      </c>
      <c r="H585" s="525" t="s">
        <v>3666</v>
      </c>
      <c r="I585" s="474"/>
      <c r="J585" s="475" t="s">
        <v>4761</v>
      </c>
    </row>
    <row r="586" spans="1:10" ht="14.25" customHeight="1">
      <c r="A586" s="559" t="s">
        <v>3197</v>
      </c>
      <c r="B586" s="560" t="s">
        <v>3198</v>
      </c>
      <c r="C586" s="559" t="s">
        <v>213</v>
      </c>
      <c r="D586" s="472">
        <v>6.6779999999999999</v>
      </c>
      <c r="E586" s="522">
        <v>6.226</v>
      </c>
      <c r="F586" s="523" t="s">
        <v>4166</v>
      </c>
      <c r="G586" s="524" t="s">
        <v>3663</v>
      </c>
      <c r="H586" s="525" t="s">
        <v>3666</v>
      </c>
      <c r="I586" s="474"/>
      <c r="J586" s="475" t="s">
        <v>4762</v>
      </c>
    </row>
    <row r="587" spans="1:10" ht="14.25" customHeight="1">
      <c r="A587" s="559" t="s">
        <v>3199</v>
      </c>
      <c r="B587" s="560" t="s">
        <v>3200</v>
      </c>
      <c r="C587" s="559" t="s">
        <v>213</v>
      </c>
      <c r="D587" s="472">
        <v>2.077</v>
      </c>
      <c r="E587" s="522">
        <v>2.0190000000000001</v>
      </c>
      <c r="F587" s="523" t="s">
        <v>4166</v>
      </c>
      <c r="G587" s="524" t="s">
        <v>3663</v>
      </c>
      <c r="H587" s="525" t="s">
        <v>3666</v>
      </c>
      <c r="I587" s="474"/>
      <c r="J587" s="475" t="s">
        <v>4763</v>
      </c>
    </row>
    <row r="588" spans="1:10" ht="14.25" customHeight="1">
      <c r="A588" s="559" t="s">
        <v>3201</v>
      </c>
      <c r="B588" s="560" t="s">
        <v>3202</v>
      </c>
      <c r="C588" s="559" t="s">
        <v>213</v>
      </c>
      <c r="D588" s="472">
        <v>1.3340000000000001</v>
      </c>
      <c r="E588" s="522">
        <v>1.298</v>
      </c>
      <c r="F588" s="523" t="s">
        <v>4166</v>
      </c>
      <c r="G588" s="524" t="s">
        <v>3663</v>
      </c>
      <c r="H588" s="525" t="s">
        <v>3666</v>
      </c>
      <c r="I588" s="474"/>
      <c r="J588" s="475" t="s">
        <v>4764</v>
      </c>
    </row>
    <row r="589" spans="1:10" ht="14.25" customHeight="1">
      <c r="A589" s="559" t="s">
        <v>3203</v>
      </c>
      <c r="B589" s="560" t="s">
        <v>3204</v>
      </c>
      <c r="C589" s="559" t="s">
        <v>213</v>
      </c>
      <c r="D589" s="472">
        <v>0.36</v>
      </c>
      <c r="E589" s="522">
        <v>0.34899999999999998</v>
      </c>
      <c r="F589" s="523" t="s">
        <v>4166</v>
      </c>
      <c r="G589" s="524" t="s">
        <v>3663</v>
      </c>
      <c r="H589" s="525" t="s">
        <v>3666</v>
      </c>
      <c r="I589" s="474"/>
      <c r="J589" s="475" t="s">
        <v>4765</v>
      </c>
    </row>
    <row r="590" spans="1:10" ht="14.25" customHeight="1">
      <c r="A590" s="520" t="s">
        <v>970</v>
      </c>
      <c r="B590" s="521" t="s">
        <v>971</v>
      </c>
      <c r="C590" s="520" t="s">
        <v>213</v>
      </c>
      <c r="D590" s="472">
        <v>1.1659999999999999</v>
      </c>
      <c r="E590" s="522">
        <v>1.0860000000000001</v>
      </c>
      <c r="F590" s="525">
        <v>0.48</v>
      </c>
      <c r="G590" s="527" t="s">
        <v>3662</v>
      </c>
      <c r="H590" s="525" t="s">
        <v>3671</v>
      </c>
      <c r="I590" s="474"/>
      <c r="J590" s="475" t="s">
        <v>4766</v>
      </c>
    </row>
    <row r="591" spans="1:10" ht="14.25" customHeight="1">
      <c r="A591" s="520" t="s">
        <v>972</v>
      </c>
      <c r="B591" s="521" t="s">
        <v>973</v>
      </c>
      <c r="C591" s="520" t="s">
        <v>213</v>
      </c>
      <c r="D591" s="472">
        <v>3.9220000000000002</v>
      </c>
      <c r="E591" s="522">
        <v>3.657</v>
      </c>
      <c r="F591" s="525" t="s">
        <v>4166</v>
      </c>
      <c r="G591" s="524" t="s">
        <v>3663</v>
      </c>
      <c r="H591" s="525" t="s">
        <v>3666</v>
      </c>
      <c r="I591" s="474"/>
      <c r="J591" s="475" t="s">
        <v>4767</v>
      </c>
    </row>
    <row r="592" spans="1:10" ht="14.25" customHeight="1">
      <c r="A592" s="520" t="s">
        <v>974</v>
      </c>
      <c r="B592" s="521" t="s">
        <v>3888</v>
      </c>
      <c r="C592" s="520" t="s">
        <v>213</v>
      </c>
      <c r="D592" s="472">
        <v>0.38100000000000001</v>
      </c>
      <c r="E592" s="522">
        <v>0.35599999999999998</v>
      </c>
      <c r="F592" s="523" t="s">
        <v>4166</v>
      </c>
      <c r="G592" s="526" t="s">
        <v>3668</v>
      </c>
      <c r="H592" s="525" t="s">
        <v>4768</v>
      </c>
      <c r="I592" s="474">
        <v>4016.93</v>
      </c>
      <c r="J592" s="475" t="s">
        <v>4769</v>
      </c>
    </row>
    <row r="593" spans="1:10" ht="14.25" customHeight="1">
      <c r="A593" s="520" t="s">
        <v>975</v>
      </c>
      <c r="B593" s="521" t="s">
        <v>976</v>
      </c>
      <c r="C593" s="520" t="s">
        <v>213</v>
      </c>
      <c r="D593" s="472">
        <v>0.46600000000000003</v>
      </c>
      <c r="E593" s="522">
        <v>0.435</v>
      </c>
      <c r="F593" s="523" t="s">
        <v>4166</v>
      </c>
      <c r="G593" s="526" t="s">
        <v>3668</v>
      </c>
      <c r="H593" s="525" t="s">
        <v>4768</v>
      </c>
      <c r="I593" s="474"/>
      <c r="J593" s="475" t="s">
        <v>4770</v>
      </c>
    </row>
    <row r="594" spans="1:10" ht="14.25" customHeight="1">
      <c r="A594" s="520" t="s">
        <v>977</v>
      </c>
      <c r="B594" s="521" t="s">
        <v>978</v>
      </c>
      <c r="C594" s="520" t="s">
        <v>213</v>
      </c>
      <c r="D594" s="472">
        <v>0.44400000000000001</v>
      </c>
      <c r="E594" s="522">
        <v>0.41399999999999998</v>
      </c>
      <c r="F594" s="523" t="s">
        <v>4166</v>
      </c>
      <c r="G594" s="526" t="s">
        <v>3668</v>
      </c>
      <c r="H594" s="525" t="s">
        <v>3666</v>
      </c>
      <c r="I594" s="474"/>
      <c r="J594" s="475" t="s">
        <v>4771</v>
      </c>
    </row>
    <row r="595" spans="1:10" ht="14.25" customHeight="1">
      <c r="A595" s="520" t="s">
        <v>979</v>
      </c>
      <c r="B595" s="521" t="s">
        <v>980</v>
      </c>
      <c r="C595" s="520" t="s">
        <v>213</v>
      </c>
      <c r="D595" s="472">
        <v>4.1340000000000003</v>
      </c>
      <c r="E595" s="522">
        <v>3.8540000000000001</v>
      </c>
      <c r="F595" s="525">
        <v>0.66</v>
      </c>
      <c r="G595" s="527" t="s">
        <v>3662</v>
      </c>
      <c r="H595" s="525" t="s">
        <v>3671</v>
      </c>
      <c r="I595" s="474"/>
      <c r="J595" s="475" t="s">
        <v>4772</v>
      </c>
    </row>
    <row r="596" spans="1:10" ht="14.25" customHeight="1">
      <c r="A596" s="520" t="s">
        <v>981</v>
      </c>
      <c r="B596" s="521" t="s">
        <v>3889</v>
      </c>
      <c r="C596" s="520" t="s">
        <v>213</v>
      </c>
      <c r="D596" s="472">
        <v>0.63600000000000001</v>
      </c>
      <c r="E596" s="522">
        <v>0.59599999999999997</v>
      </c>
      <c r="F596" s="523" t="s">
        <v>4166</v>
      </c>
      <c r="G596" s="526" t="s">
        <v>3668</v>
      </c>
      <c r="H596" s="525" t="s">
        <v>3669</v>
      </c>
      <c r="I596" s="474">
        <v>4016.93</v>
      </c>
      <c r="J596" s="475" t="s">
        <v>4773</v>
      </c>
    </row>
    <row r="597" spans="1:10" ht="14.25" customHeight="1">
      <c r="A597" s="520" t="s">
        <v>982</v>
      </c>
      <c r="B597" s="521" t="s">
        <v>983</v>
      </c>
      <c r="C597" s="520" t="s">
        <v>213</v>
      </c>
      <c r="D597" s="472">
        <v>2.3740000000000001</v>
      </c>
      <c r="E597" s="522">
        <v>2.2120000000000002</v>
      </c>
      <c r="F597" s="523" t="s">
        <v>4166</v>
      </c>
      <c r="G597" s="524" t="s">
        <v>3663</v>
      </c>
      <c r="H597" s="525" t="s">
        <v>3666</v>
      </c>
      <c r="I597" s="474"/>
      <c r="J597" s="475" t="s">
        <v>4774</v>
      </c>
    </row>
    <row r="598" spans="1:10" ht="14.25" customHeight="1">
      <c r="A598" s="520" t="s">
        <v>984</v>
      </c>
      <c r="B598" s="521" t="s">
        <v>985</v>
      </c>
      <c r="C598" s="520" t="s">
        <v>213</v>
      </c>
      <c r="D598" s="472">
        <v>1.534</v>
      </c>
      <c r="E598" s="522">
        <v>1.43</v>
      </c>
      <c r="F598" s="523" t="s">
        <v>4166</v>
      </c>
      <c r="G598" s="524" t="s">
        <v>3663</v>
      </c>
      <c r="H598" s="525" t="s">
        <v>3666</v>
      </c>
      <c r="I598" s="474"/>
      <c r="J598" s="475" t="s">
        <v>4775</v>
      </c>
    </row>
    <row r="599" spans="1:10" ht="14.25" customHeight="1">
      <c r="A599" s="520" t="s">
        <v>986</v>
      </c>
      <c r="B599" s="521" t="s">
        <v>987</v>
      </c>
      <c r="C599" s="520" t="s">
        <v>213</v>
      </c>
      <c r="D599" s="472">
        <v>1.038</v>
      </c>
      <c r="E599" s="522">
        <v>0.95899999999999996</v>
      </c>
      <c r="F599" s="523" t="s">
        <v>4166</v>
      </c>
      <c r="G599" s="524" t="s">
        <v>3663</v>
      </c>
      <c r="H599" s="525" t="s">
        <v>3666</v>
      </c>
      <c r="I599" s="474"/>
      <c r="J599" s="475" t="s">
        <v>4776</v>
      </c>
    </row>
    <row r="600" spans="1:10" ht="14.25" customHeight="1">
      <c r="A600" s="520" t="s">
        <v>988</v>
      </c>
      <c r="B600" s="521" t="s">
        <v>989</v>
      </c>
      <c r="C600" s="520" t="s">
        <v>213</v>
      </c>
      <c r="D600" s="472">
        <v>4.8959999999999999</v>
      </c>
      <c r="E600" s="522">
        <v>4.5659999999999998</v>
      </c>
      <c r="F600" s="523" t="s">
        <v>4166</v>
      </c>
      <c r="G600" s="524" t="s">
        <v>3663</v>
      </c>
      <c r="H600" s="525" t="s">
        <v>3666</v>
      </c>
      <c r="I600" s="474"/>
      <c r="J600" s="475" t="s">
        <v>4777</v>
      </c>
    </row>
    <row r="601" spans="1:10" ht="14.25" customHeight="1">
      <c r="A601" s="520" t="s">
        <v>990</v>
      </c>
      <c r="B601" s="521" t="s">
        <v>991</v>
      </c>
      <c r="C601" s="520" t="s">
        <v>213</v>
      </c>
      <c r="D601" s="472">
        <v>1.038</v>
      </c>
      <c r="E601" s="522">
        <v>0.95899999999999996</v>
      </c>
      <c r="F601" s="523" t="s">
        <v>4166</v>
      </c>
      <c r="G601" s="524" t="s">
        <v>3663</v>
      </c>
      <c r="H601" s="525" t="s">
        <v>3666</v>
      </c>
      <c r="I601" s="474"/>
      <c r="J601" s="475" t="s">
        <v>4778</v>
      </c>
    </row>
    <row r="602" spans="1:10" ht="14.25" customHeight="1">
      <c r="A602" s="520" t="s">
        <v>992</v>
      </c>
      <c r="B602" s="521" t="s">
        <v>993</v>
      </c>
      <c r="C602" s="520" t="s">
        <v>213</v>
      </c>
      <c r="D602" s="472">
        <v>1.038</v>
      </c>
      <c r="E602" s="522">
        <v>0.95899999999999996</v>
      </c>
      <c r="F602" s="523" t="s">
        <v>4166</v>
      </c>
      <c r="G602" s="524" t="s">
        <v>3663</v>
      </c>
      <c r="H602" s="525" t="s">
        <v>3666</v>
      </c>
      <c r="I602" s="474"/>
      <c r="J602" s="475" t="s">
        <v>4779</v>
      </c>
    </row>
    <row r="603" spans="1:10" ht="14.25" customHeight="1">
      <c r="A603" s="520" t="s">
        <v>994</v>
      </c>
      <c r="B603" s="521" t="s">
        <v>995</v>
      </c>
      <c r="C603" s="520" t="s">
        <v>213</v>
      </c>
      <c r="D603" s="472">
        <v>3.9220000000000002</v>
      </c>
      <c r="E603" s="522">
        <v>3.65</v>
      </c>
      <c r="F603" s="523" t="s">
        <v>4166</v>
      </c>
      <c r="G603" s="524" t="s">
        <v>3663</v>
      </c>
      <c r="H603" s="525" t="s">
        <v>3666</v>
      </c>
      <c r="I603" s="474"/>
      <c r="J603" s="475" t="s">
        <v>4780</v>
      </c>
    </row>
    <row r="604" spans="1:10" ht="14.25" customHeight="1">
      <c r="A604" s="520" t="s">
        <v>996</v>
      </c>
      <c r="B604" s="521" t="s">
        <v>997</v>
      </c>
      <c r="C604" s="520" t="s">
        <v>213</v>
      </c>
      <c r="D604" s="472">
        <v>2.077</v>
      </c>
      <c r="E604" s="522">
        <v>1.6950000000000001</v>
      </c>
      <c r="F604" s="523" t="s">
        <v>4166</v>
      </c>
      <c r="G604" s="524" t="s">
        <v>3663</v>
      </c>
      <c r="H604" s="525" t="s">
        <v>3666</v>
      </c>
      <c r="I604" s="474"/>
      <c r="J604" s="475" t="s">
        <v>4781</v>
      </c>
    </row>
    <row r="605" spans="1:10" ht="14.25" customHeight="1">
      <c r="A605" s="520" t="s">
        <v>998</v>
      </c>
      <c r="B605" s="521" t="s">
        <v>999</v>
      </c>
      <c r="C605" s="520" t="s">
        <v>213</v>
      </c>
      <c r="D605" s="472">
        <v>5.6909999999999998</v>
      </c>
      <c r="E605" s="522">
        <v>5.3129999999999997</v>
      </c>
      <c r="F605" s="523" t="s">
        <v>4166</v>
      </c>
      <c r="G605" s="524" t="s">
        <v>3663</v>
      </c>
      <c r="H605" s="525" t="s">
        <v>3666</v>
      </c>
      <c r="I605" s="474"/>
      <c r="J605" s="475" t="s">
        <v>4782</v>
      </c>
    </row>
    <row r="606" spans="1:10" ht="14.25" customHeight="1">
      <c r="A606" s="520" t="s">
        <v>1000</v>
      </c>
      <c r="B606" s="521" t="s">
        <v>1001</v>
      </c>
      <c r="C606" s="520" t="s">
        <v>213</v>
      </c>
      <c r="D606" s="472">
        <v>1.486</v>
      </c>
      <c r="E606" s="522">
        <v>1.385</v>
      </c>
      <c r="F606" s="523">
        <v>1.36</v>
      </c>
      <c r="G606" s="526" t="s">
        <v>3668</v>
      </c>
      <c r="H606" s="525" t="s">
        <v>3671</v>
      </c>
      <c r="I606" s="474">
        <v>4016.93</v>
      </c>
      <c r="J606" s="475" t="s">
        <v>4783</v>
      </c>
    </row>
    <row r="607" spans="1:10" ht="14.25" customHeight="1">
      <c r="A607" s="520" t="s">
        <v>1002</v>
      </c>
      <c r="B607" s="521" t="s">
        <v>1001</v>
      </c>
      <c r="C607" s="520" t="s">
        <v>213</v>
      </c>
      <c r="D607" s="472">
        <v>4.7699999999999996</v>
      </c>
      <c r="E607" s="522">
        <v>4.4509999999999996</v>
      </c>
      <c r="F607" s="523">
        <v>1.36</v>
      </c>
      <c r="G607" s="526" t="s">
        <v>3668</v>
      </c>
      <c r="H607" s="525" t="s">
        <v>3671</v>
      </c>
      <c r="I607" s="474"/>
      <c r="J607" s="475" t="s">
        <v>4784</v>
      </c>
    </row>
    <row r="608" spans="1:10" ht="14.25" customHeight="1">
      <c r="A608" s="559" t="s">
        <v>3205</v>
      </c>
      <c r="B608" s="560" t="s">
        <v>3206</v>
      </c>
      <c r="C608" s="559" t="s">
        <v>213</v>
      </c>
      <c r="D608" s="472">
        <v>9.327</v>
      </c>
      <c r="E608" s="522">
        <v>8.6989999999999998</v>
      </c>
      <c r="F608" s="523" t="s">
        <v>4166</v>
      </c>
      <c r="G608" s="524" t="s">
        <v>3663</v>
      </c>
      <c r="H608" s="525" t="s">
        <v>3666</v>
      </c>
      <c r="I608" s="474"/>
      <c r="J608" s="475" t="s">
        <v>4785</v>
      </c>
    </row>
    <row r="609" spans="1:10" ht="14.25" customHeight="1">
      <c r="A609" s="559" t="s">
        <v>3207</v>
      </c>
      <c r="B609" s="560" t="s">
        <v>3208</v>
      </c>
      <c r="C609" s="559" t="s">
        <v>213</v>
      </c>
      <c r="D609" s="472">
        <v>7.6529999999999996</v>
      </c>
      <c r="E609" s="522">
        <v>7.1360000000000001</v>
      </c>
      <c r="F609" s="523" t="s">
        <v>4166</v>
      </c>
      <c r="G609" s="524" t="s">
        <v>3663</v>
      </c>
      <c r="H609" s="525" t="s">
        <v>3666</v>
      </c>
      <c r="I609" s="474"/>
      <c r="J609" s="475" t="s">
        <v>4786</v>
      </c>
    </row>
    <row r="610" spans="1:10" ht="14.25" customHeight="1">
      <c r="A610" s="559" t="s">
        <v>4787</v>
      </c>
      <c r="B610" s="560" t="s">
        <v>4788</v>
      </c>
      <c r="C610" s="559" t="s">
        <v>213</v>
      </c>
      <c r="D610" s="472">
        <v>9.327</v>
      </c>
      <c r="E610" s="522">
        <v>8.6989999999999998</v>
      </c>
      <c r="F610" s="523" t="s">
        <v>4166</v>
      </c>
      <c r="G610" s="524" t="s">
        <v>3663</v>
      </c>
      <c r="H610" s="525" t="s">
        <v>3666</v>
      </c>
      <c r="I610" s="474"/>
      <c r="J610" s="475" t="s">
        <v>4785</v>
      </c>
    </row>
    <row r="611" spans="1:10" ht="14.25" customHeight="1">
      <c r="A611" s="559" t="s">
        <v>3209</v>
      </c>
      <c r="B611" s="560" t="s">
        <v>3210</v>
      </c>
      <c r="C611" s="559" t="s">
        <v>213</v>
      </c>
      <c r="D611" s="472">
        <v>24.04</v>
      </c>
      <c r="E611" s="522">
        <v>22.425000000000001</v>
      </c>
      <c r="F611" s="523" t="s">
        <v>4166</v>
      </c>
      <c r="G611" s="524" t="s">
        <v>3663</v>
      </c>
      <c r="H611" s="525" t="s">
        <v>3666</v>
      </c>
      <c r="I611" s="474"/>
      <c r="J611" s="475" t="s">
        <v>4789</v>
      </c>
    </row>
    <row r="612" spans="1:10" ht="14.25" customHeight="1">
      <c r="A612" s="559" t="s">
        <v>3211</v>
      </c>
      <c r="B612" s="560" t="s">
        <v>3212</v>
      </c>
      <c r="C612" s="559" t="s">
        <v>213</v>
      </c>
      <c r="D612" s="472">
        <v>2.3740000000000001</v>
      </c>
      <c r="E612" s="522">
        <v>2.2130000000000001</v>
      </c>
      <c r="F612" s="523" t="s">
        <v>4166</v>
      </c>
      <c r="G612" s="524" t="s">
        <v>3663</v>
      </c>
      <c r="H612" s="525" t="s">
        <v>3666</v>
      </c>
      <c r="I612" s="474"/>
      <c r="J612" s="475" t="s">
        <v>4790</v>
      </c>
    </row>
    <row r="613" spans="1:10" ht="14.25" customHeight="1">
      <c r="A613" s="559" t="s">
        <v>3213</v>
      </c>
      <c r="B613" s="560" t="s">
        <v>3214</v>
      </c>
      <c r="C613" s="559" t="s">
        <v>213</v>
      </c>
      <c r="D613" s="472">
        <v>9.984</v>
      </c>
      <c r="E613" s="522">
        <v>9.3109999999999999</v>
      </c>
      <c r="F613" s="523" t="s">
        <v>4166</v>
      </c>
      <c r="G613" s="524" t="s">
        <v>3663</v>
      </c>
      <c r="H613" s="525" t="s">
        <v>3666</v>
      </c>
      <c r="I613" s="474"/>
      <c r="J613" s="475" t="s">
        <v>4791</v>
      </c>
    </row>
    <row r="614" spans="1:10" ht="14.25" customHeight="1">
      <c r="A614" s="520" t="s">
        <v>1003</v>
      </c>
      <c r="B614" s="521" t="s">
        <v>1004</v>
      </c>
      <c r="C614" s="520" t="s">
        <v>213</v>
      </c>
      <c r="D614" s="472">
        <v>0.98699999999999999</v>
      </c>
      <c r="E614" s="522">
        <v>0.91300000000000003</v>
      </c>
      <c r="F614" s="523" t="s">
        <v>4166</v>
      </c>
      <c r="G614" s="524" t="s">
        <v>3663</v>
      </c>
      <c r="H614" s="525" t="s">
        <v>3666</v>
      </c>
      <c r="I614" s="474"/>
      <c r="J614" s="475" t="s">
        <v>4792</v>
      </c>
    </row>
    <row r="615" spans="1:10" ht="14.25" customHeight="1">
      <c r="A615" s="520" t="s">
        <v>1005</v>
      </c>
      <c r="B615" s="521" t="s">
        <v>1006</v>
      </c>
      <c r="C615" s="520" t="s">
        <v>213</v>
      </c>
      <c r="D615" s="472">
        <v>0.98699999999999999</v>
      </c>
      <c r="E615" s="522">
        <v>0.91300000000000003</v>
      </c>
      <c r="F615" s="523" t="s">
        <v>4166</v>
      </c>
      <c r="G615" s="524" t="s">
        <v>3663</v>
      </c>
      <c r="H615" s="525" t="s">
        <v>3666</v>
      </c>
      <c r="I615" s="474"/>
      <c r="J615" s="475" t="s">
        <v>4793</v>
      </c>
    </row>
    <row r="616" spans="1:10" ht="14.25" customHeight="1">
      <c r="A616" s="520" t="s">
        <v>1007</v>
      </c>
      <c r="B616" s="521" t="s">
        <v>1008</v>
      </c>
      <c r="C616" s="520" t="s">
        <v>213</v>
      </c>
      <c r="D616" s="472">
        <v>0.98699999999999999</v>
      </c>
      <c r="E616" s="522">
        <v>0.91300000000000003</v>
      </c>
      <c r="F616" s="523" t="s">
        <v>4166</v>
      </c>
      <c r="G616" s="524" t="s">
        <v>3663</v>
      </c>
      <c r="H616" s="525" t="s">
        <v>3666</v>
      </c>
      <c r="I616" s="474"/>
      <c r="J616" s="475" t="s">
        <v>4794</v>
      </c>
    </row>
    <row r="617" spans="1:10" ht="14.25" customHeight="1">
      <c r="A617" s="520" t="s">
        <v>1009</v>
      </c>
      <c r="B617" s="521" t="s">
        <v>1010</v>
      </c>
      <c r="C617" s="520" t="s">
        <v>213</v>
      </c>
      <c r="D617" s="472">
        <v>0.98699999999999999</v>
      </c>
      <c r="E617" s="522">
        <v>0.91300000000000003</v>
      </c>
      <c r="F617" s="523" t="s">
        <v>4166</v>
      </c>
      <c r="G617" s="524" t="s">
        <v>3663</v>
      </c>
      <c r="H617" s="525" t="s">
        <v>3666</v>
      </c>
      <c r="I617" s="474"/>
      <c r="J617" s="475" t="s">
        <v>4795</v>
      </c>
    </row>
    <row r="618" spans="1:10" ht="14.25" customHeight="1">
      <c r="A618" s="520" t="s">
        <v>1011</v>
      </c>
      <c r="B618" s="521" t="s">
        <v>1012</v>
      </c>
      <c r="C618" s="520" t="s">
        <v>213</v>
      </c>
      <c r="D618" s="472">
        <v>0.98699999999999999</v>
      </c>
      <c r="E618" s="522">
        <v>0.91300000000000003</v>
      </c>
      <c r="F618" s="523" t="s">
        <v>4166</v>
      </c>
      <c r="G618" s="524" t="s">
        <v>3663</v>
      </c>
      <c r="H618" s="525" t="s">
        <v>3666</v>
      </c>
      <c r="I618" s="474"/>
      <c r="J618" s="475" t="s">
        <v>4796</v>
      </c>
    </row>
    <row r="619" spans="1:10" ht="14.25" customHeight="1">
      <c r="A619" s="520" t="s">
        <v>1013</v>
      </c>
      <c r="B619" s="521" t="s">
        <v>1014</v>
      </c>
      <c r="C619" s="520" t="s">
        <v>213</v>
      </c>
      <c r="D619" s="472">
        <v>0.76500000000000001</v>
      </c>
      <c r="E619" s="522">
        <v>0.62</v>
      </c>
      <c r="F619" s="523">
        <v>1.4</v>
      </c>
      <c r="G619" s="526" t="s">
        <v>3668</v>
      </c>
      <c r="H619" s="525" t="s">
        <v>3666</v>
      </c>
      <c r="I619" s="474"/>
      <c r="J619" s="475" t="s">
        <v>4797</v>
      </c>
    </row>
    <row r="620" spans="1:10" ht="14.25" customHeight="1">
      <c r="A620" s="532" t="s">
        <v>1015</v>
      </c>
      <c r="B620" s="533" t="s">
        <v>1016</v>
      </c>
      <c r="C620" s="520" t="s">
        <v>213</v>
      </c>
      <c r="D620" s="472">
        <v>3.4580000000000002</v>
      </c>
      <c r="E620" s="522">
        <v>3.2160000000000002</v>
      </c>
      <c r="F620" s="523">
        <v>1.4</v>
      </c>
      <c r="G620" s="526" t="s">
        <v>3668</v>
      </c>
      <c r="H620" s="525" t="s">
        <v>3666</v>
      </c>
      <c r="I620" s="474"/>
      <c r="J620" s="475" t="s">
        <v>4798</v>
      </c>
    </row>
    <row r="621" spans="1:10" ht="14.25" customHeight="1">
      <c r="A621" s="520" t="s">
        <v>1017</v>
      </c>
      <c r="B621" s="521" t="s">
        <v>1018</v>
      </c>
      <c r="C621" s="520" t="s">
        <v>213</v>
      </c>
      <c r="D621" s="472">
        <v>3.4580000000000002</v>
      </c>
      <c r="E621" s="522">
        <v>3.2160000000000002</v>
      </c>
      <c r="F621" s="523" t="s">
        <v>4166</v>
      </c>
      <c r="G621" s="524" t="s">
        <v>3663</v>
      </c>
      <c r="H621" s="525" t="s">
        <v>3666</v>
      </c>
      <c r="I621" s="474"/>
      <c r="J621" s="475" t="s">
        <v>4799</v>
      </c>
    </row>
    <row r="622" spans="1:10" ht="14.25" customHeight="1">
      <c r="A622" s="520" t="s">
        <v>1019</v>
      </c>
      <c r="B622" s="521" t="s">
        <v>1018</v>
      </c>
      <c r="C622" s="520" t="s">
        <v>213</v>
      </c>
      <c r="D622" s="472">
        <v>3.4569999999999999</v>
      </c>
      <c r="E622" s="522">
        <v>2.5950000000000002</v>
      </c>
      <c r="F622" s="523" t="s">
        <v>4166</v>
      </c>
      <c r="G622" s="524" t="s">
        <v>3663</v>
      </c>
      <c r="H622" s="525" t="s">
        <v>3666</v>
      </c>
      <c r="I622" s="474"/>
      <c r="J622" s="475" t="s">
        <v>4800</v>
      </c>
    </row>
    <row r="623" spans="1:10" ht="14.25" customHeight="1">
      <c r="A623" s="520" t="s">
        <v>1020</v>
      </c>
      <c r="B623" s="521" t="s">
        <v>1021</v>
      </c>
      <c r="C623" s="520" t="s">
        <v>213</v>
      </c>
      <c r="D623" s="472">
        <v>3.6819999999999999</v>
      </c>
      <c r="E623" s="522">
        <v>3.4350000000000001</v>
      </c>
      <c r="F623" s="523" t="s">
        <v>4166</v>
      </c>
      <c r="G623" s="524" t="s">
        <v>3663</v>
      </c>
      <c r="H623" s="525" t="s">
        <v>3666</v>
      </c>
      <c r="I623" s="474"/>
      <c r="J623" s="475" t="s">
        <v>4801</v>
      </c>
    </row>
    <row r="624" spans="1:10" ht="14.25" customHeight="1">
      <c r="A624" s="520" t="s">
        <v>1022</v>
      </c>
      <c r="B624" s="521" t="s">
        <v>1023</v>
      </c>
      <c r="C624" s="520" t="s">
        <v>213</v>
      </c>
      <c r="D624" s="472">
        <v>3.8879999999999999</v>
      </c>
      <c r="E624" s="522">
        <v>3.6179999999999999</v>
      </c>
      <c r="F624" s="523" t="s">
        <v>4166</v>
      </c>
      <c r="G624" s="524" t="s">
        <v>3663</v>
      </c>
      <c r="H624" s="525" t="s">
        <v>3666</v>
      </c>
      <c r="I624" s="474"/>
      <c r="J624" s="475" t="s">
        <v>4802</v>
      </c>
    </row>
    <row r="625" spans="1:10" ht="14.25" customHeight="1">
      <c r="A625" s="520" t="s">
        <v>1024</v>
      </c>
      <c r="B625" s="521" t="s">
        <v>1025</v>
      </c>
      <c r="C625" s="520" t="s">
        <v>213</v>
      </c>
      <c r="D625" s="472">
        <v>3.8639999999999999</v>
      </c>
      <c r="E625" s="522">
        <v>3.6</v>
      </c>
      <c r="F625" s="523" t="s">
        <v>4166</v>
      </c>
      <c r="G625" s="524" t="s">
        <v>3663</v>
      </c>
      <c r="H625" s="525" t="s">
        <v>3666</v>
      </c>
      <c r="I625" s="474"/>
      <c r="J625" s="475" t="s">
        <v>4803</v>
      </c>
    </row>
    <row r="626" spans="1:10" ht="14.25" customHeight="1">
      <c r="A626" s="520" t="s">
        <v>1026</v>
      </c>
      <c r="B626" s="521" t="s">
        <v>1027</v>
      </c>
      <c r="C626" s="520" t="s">
        <v>213</v>
      </c>
      <c r="D626" s="472">
        <v>2.12</v>
      </c>
      <c r="E626" s="522">
        <v>1.972</v>
      </c>
      <c r="F626" s="523" t="s">
        <v>4166</v>
      </c>
      <c r="G626" s="524" t="s">
        <v>3663</v>
      </c>
      <c r="H626" s="525" t="s">
        <v>3666</v>
      </c>
      <c r="I626" s="474"/>
      <c r="J626" s="475" t="s">
        <v>4804</v>
      </c>
    </row>
    <row r="627" spans="1:10" ht="14.25" customHeight="1">
      <c r="A627" s="520" t="s">
        <v>1028</v>
      </c>
      <c r="B627" s="521" t="s">
        <v>1029</v>
      </c>
      <c r="C627" s="520" t="s">
        <v>213</v>
      </c>
      <c r="D627" s="472">
        <v>2.12</v>
      </c>
      <c r="E627" s="522">
        <v>1.976</v>
      </c>
      <c r="F627" s="523" t="s">
        <v>4166</v>
      </c>
      <c r="G627" s="524" t="s">
        <v>3663</v>
      </c>
      <c r="H627" s="525" t="s">
        <v>3666</v>
      </c>
      <c r="I627" s="474"/>
      <c r="J627" s="475" t="s">
        <v>4805</v>
      </c>
    </row>
    <row r="628" spans="1:10" ht="14.25" customHeight="1">
      <c r="A628" s="520" t="s">
        <v>1030</v>
      </c>
      <c r="B628" s="521" t="s">
        <v>1031</v>
      </c>
      <c r="C628" s="520" t="s">
        <v>213</v>
      </c>
      <c r="D628" s="472">
        <v>2.12</v>
      </c>
      <c r="E628" s="522">
        <v>1.976</v>
      </c>
      <c r="F628" s="523" t="s">
        <v>4166</v>
      </c>
      <c r="G628" s="524" t="s">
        <v>3663</v>
      </c>
      <c r="H628" s="525" t="s">
        <v>3666</v>
      </c>
      <c r="I628" s="474"/>
      <c r="J628" s="475" t="s">
        <v>4806</v>
      </c>
    </row>
    <row r="629" spans="1:10" ht="14.25" customHeight="1">
      <c r="A629" s="520" t="s">
        <v>1032</v>
      </c>
      <c r="B629" s="521" t="s">
        <v>1033</v>
      </c>
      <c r="C629" s="520" t="s">
        <v>213</v>
      </c>
      <c r="D629" s="472">
        <v>2.12</v>
      </c>
      <c r="E629" s="522">
        <v>1.976</v>
      </c>
      <c r="F629" s="523" t="s">
        <v>4166</v>
      </c>
      <c r="G629" s="524" t="s">
        <v>3663</v>
      </c>
      <c r="H629" s="525" t="s">
        <v>3666</v>
      </c>
      <c r="I629" s="474"/>
      <c r="J629" s="475" t="s">
        <v>4807</v>
      </c>
    </row>
    <row r="630" spans="1:10" ht="14.25" customHeight="1">
      <c r="A630" s="520" t="s">
        <v>1034</v>
      </c>
      <c r="B630" s="521" t="s">
        <v>1035</v>
      </c>
      <c r="C630" s="520" t="s">
        <v>213</v>
      </c>
      <c r="D630" s="472">
        <v>2.12</v>
      </c>
      <c r="E630" s="522">
        <v>1.976</v>
      </c>
      <c r="F630" s="523" t="s">
        <v>4166</v>
      </c>
      <c r="G630" s="524" t="s">
        <v>3663</v>
      </c>
      <c r="H630" s="525" t="s">
        <v>3666</v>
      </c>
      <c r="I630" s="474"/>
      <c r="J630" s="475" t="s">
        <v>4808</v>
      </c>
    </row>
    <row r="631" spans="1:10" ht="14.25" customHeight="1">
      <c r="A631" s="559" t="s">
        <v>3215</v>
      </c>
      <c r="B631" s="560" t="s">
        <v>3216</v>
      </c>
      <c r="C631" s="559" t="s">
        <v>213</v>
      </c>
      <c r="D631" s="472">
        <v>29.574000000000002</v>
      </c>
      <c r="E631" s="522">
        <v>27.579000000000001</v>
      </c>
      <c r="F631" s="523" t="s">
        <v>4166</v>
      </c>
      <c r="G631" s="524" t="s">
        <v>3663</v>
      </c>
      <c r="H631" s="525" t="s">
        <v>3666</v>
      </c>
      <c r="I631" s="474"/>
      <c r="J631" s="475" t="s">
        <v>4809</v>
      </c>
    </row>
    <row r="632" spans="1:10" ht="14.25" customHeight="1">
      <c r="A632" s="559" t="s">
        <v>3217</v>
      </c>
      <c r="B632" s="560" t="s">
        <v>3218</v>
      </c>
      <c r="C632" s="559" t="s">
        <v>213</v>
      </c>
      <c r="D632" s="472">
        <v>10.946</v>
      </c>
      <c r="E632" s="522">
        <v>10.205</v>
      </c>
      <c r="F632" s="523" t="s">
        <v>4166</v>
      </c>
      <c r="G632" s="524" t="s">
        <v>3663</v>
      </c>
      <c r="H632" s="525" t="s">
        <v>3666</v>
      </c>
      <c r="I632" s="474"/>
      <c r="J632" s="475" t="s">
        <v>4810</v>
      </c>
    </row>
    <row r="633" spans="1:10" ht="14.25" customHeight="1">
      <c r="A633" s="559" t="s">
        <v>3219</v>
      </c>
      <c r="B633" s="560" t="s">
        <v>3220</v>
      </c>
      <c r="C633" s="559" t="s">
        <v>213</v>
      </c>
      <c r="D633" s="472">
        <v>8.8610000000000007</v>
      </c>
      <c r="E633" s="522">
        <v>8.2620000000000005</v>
      </c>
      <c r="F633" s="523" t="s">
        <v>4166</v>
      </c>
      <c r="G633" s="524" t="s">
        <v>3663</v>
      </c>
      <c r="H633" s="525" t="s">
        <v>3666</v>
      </c>
      <c r="I633" s="474"/>
      <c r="J633" s="475" t="s">
        <v>4811</v>
      </c>
    </row>
    <row r="634" spans="1:10" ht="14.25" customHeight="1">
      <c r="A634" s="520" t="s">
        <v>1036</v>
      </c>
      <c r="B634" s="521" t="s">
        <v>1037</v>
      </c>
      <c r="C634" s="520" t="s">
        <v>213</v>
      </c>
      <c r="D634" s="472">
        <v>19.132000000000001</v>
      </c>
      <c r="E634" s="522">
        <v>15.906000000000001</v>
      </c>
      <c r="F634" s="523" t="s">
        <v>4166</v>
      </c>
      <c r="G634" s="526" t="s">
        <v>3668</v>
      </c>
      <c r="H634" s="525" t="s">
        <v>3678</v>
      </c>
      <c r="I634" s="474"/>
      <c r="J634" s="475" t="s">
        <v>4812</v>
      </c>
    </row>
    <row r="635" spans="1:10" ht="14.25" customHeight="1">
      <c r="A635" s="520" t="s">
        <v>1038</v>
      </c>
      <c r="B635" s="521" t="s">
        <v>1039</v>
      </c>
      <c r="C635" s="520" t="s">
        <v>213</v>
      </c>
      <c r="D635" s="472">
        <v>53.783999999999999</v>
      </c>
      <c r="E635" s="522">
        <v>93.588999999999999</v>
      </c>
      <c r="F635" s="523" t="s">
        <v>4166</v>
      </c>
      <c r="G635" s="526" t="s">
        <v>3668</v>
      </c>
      <c r="H635" s="525" t="s">
        <v>3678</v>
      </c>
      <c r="I635" s="474"/>
      <c r="J635" s="475" t="s">
        <v>4813</v>
      </c>
    </row>
    <row r="636" spans="1:10" ht="14.25" customHeight="1">
      <c r="A636" s="559" t="s">
        <v>3221</v>
      </c>
      <c r="B636" s="560" t="s">
        <v>3222</v>
      </c>
      <c r="C636" s="559" t="s">
        <v>213</v>
      </c>
      <c r="D636" s="472">
        <v>29.574000000000002</v>
      </c>
      <c r="E636" s="522">
        <v>27.579000000000001</v>
      </c>
      <c r="F636" s="523" t="s">
        <v>4166</v>
      </c>
      <c r="G636" s="524" t="s">
        <v>3663</v>
      </c>
      <c r="H636" s="525" t="s">
        <v>3666</v>
      </c>
      <c r="I636" s="474"/>
      <c r="J636" s="475" t="s">
        <v>4814</v>
      </c>
    </row>
    <row r="637" spans="1:10" ht="14.25" customHeight="1">
      <c r="A637" s="559" t="s">
        <v>3223</v>
      </c>
      <c r="B637" s="560" t="s">
        <v>3224</v>
      </c>
      <c r="C637" s="559" t="s">
        <v>213</v>
      </c>
      <c r="D637" s="472">
        <v>10.946</v>
      </c>
      <c r="E637" s="522">
        <v>10.205</v>
      </c>
      <c r="F637" s="523" t="s">
        <v>4166</v>
      </c>
      <c r="G637" s="524" t="s">
        <v>3663</v>
      </c>
      <c r="H637" s="525" t="s">
        <v>3666</v>
      </c>
      <c r="I637" s="474"/>
      <c r="J637" s="475" t="s">
        <v>4815</v>
      </c>
    </row>
    <row r="638" spans="1:10" ht="14.25" customHeight="1">
      <c r="A638" s="559" t="s">
        <v>3225</v>
      </c>
      <c r="B638" s="560" t="s">
        <v>3226</v>
      </c>
      <c r="C638" s="559" t="s">
        <v>213</v>
      </c>
      <c r="D638" s="472">
        <v>29.574000000000002</v>
      </c>
      <c r="E638" s="522">
        <v>27.579000000000001</v>
      </c>
      <c r="F638" s="523" t="s">
        <v>4166</v>
      </c>
      <c r="G638" s="524" t="s">
        <v>3663</v>
      </c>
      <c r="H638" s="525" t="s">
        <v>3666</v>
      </c>
      <c r="I638" s="474"/>
      <c r="J638" s="475" t="s">
        <v>4816</v>
      </c>
    </row>
    <row r="639" spans="1:10" ht="14.25" customHeight="1">
      <c r="A639" s="520" t="s">
        <v>1040</v>
      </c>
      <c r="B639" s="521" t="s">
        <v>1041</v>
      </c>
      <c r="C639" s="520" t="s">
        <v>213</v>
      </c>
      <c r="D639" s="472">
        <v>13.992000000000001</v>
      </c>
      <c r="E639" s="522">
        <v>13.048999999999999</v>
      </c>
      <c r="F639" s="523" t="s">
        <v>4166</v>
      </c>
      <c r="G639" s="527" t="s">
        <v>3662</v>
      </c>
      <c r="H639" s="525" t="s">
        <v>3666</v>
      </c>
      <c r="I639" s="474"/>
      <c r="J639" s="475" t="s">
        <v>4817</v>
      </c>
    </row>
    <row r="640" spans="1:10" ht="14.25" customHeight="1">
      <c r="A640" s="520" t="s">
        <v>1042</v>
      </c>
      <c r="B640" s="521" t="s">
        <v>1043</v>
      </c>
      <c r="C640" s="520" t="s">
        <v>213</v>
      </c>
      <c r="D640" s="472">
        <v>13.992000000000001</v>
      </c>
      <c r="E640" s="522">
        <v>13.048999999999999</v>
      </c>
      <c r="F640" s="523" t="s">
        <v>4166</v>
      </c>
      <c r="G640" s="527" t="s">
        <v>3662</v>
      </c>
      <c r="H640" s="525" t="s">
        <v>3666</v>
      </c>
      <c r="I640" s="474"/>
      <c r="J640" s="475" t="s">
        <v>4818</v>
      </c>
    </row>
    <row r="641" spans="1:10" ht="14.25" customHeight="1">
      <c r="A641" s="520" t="s">
        <v>1044</v>
      </c>
      <c r="B641" s="521" t="s">
        <v>1045</v>
      </c>
      <c r="C641" s="520" t="s">
        <v>213</v>
      </c>
      <c r="D641" s="472">
        <v>13.992000000000001</v>
      </c>
      <c r="E641" s="522">
        <v>13.048999999999999</v>
      </c>
      <c r="F641" s="523" t="s">
        <v>4166</v>
      </c>
      <c r="G641" s="527" t="s">
        <v>3662</v>
      </c>
      <c r="H641" s="525" t="s">
        <v>3666</v>
      </c>
      <c r="I641" s="474"/>
      <c r="J641" s="475" t="s">
        <v>4819</v>
      </c>
    </row>
    <row r="642" spans="1:10" ht="14.25" customHeight="1">
      <c r="A642" s="520" t="s">
        <v>1046</v>
      </c>
      <c r="B642" s="521" t="s">
        <v>1047</v>
      </c>
      <c r="C642" s="520" t="s">
        <v>213</v>
      </c>
      <c r="D642" s="472">
        <v>13.992000000000001</v>
      </c>
      <c r="E642" s="522">
        <v>13.048999999999999</v>
      </c>
      <c r="F642" s="523" t="s">
        <v>4166</v>
      </c>
      <c r="G642" s="527" t="s">
        <v>3662</v>
      </c>
      <c r="H642" s="525" t="s">
        <v>3666</v>
      </c>
      <c r="I642" s="474"/>
      <c r="J642" s="475" t="s">
        <v>4820</v>
      </c>
    </row>
    <row r="643" spans="1:10" ht="14.25" customHeight="1">
      <c r="A643" s="520" t="s">
        <v>1048</v>
      </c>
      <c r="B643" s="521" t="s">
        <v>1049</v>
      </c>
      <c r="C643" s="520" t="s">
        <v>213</v>
      </c>
      <c r="D643" s="472">
        <v>13.992000000000001</v>
      </c>
      <c r="E643" s="522">
        <v>13.048999999999999</v>
      </c>
      <c r="F643" s="523">
        <v>2.6</v>
      </c>
      <c r="G643" s="527" t="s">
        <v>3662</v>
      </c>
      <c r="H643" s="525" t="s">
        <v>3666</v>
      </c>
      <c r="I643" s="474"/>
      <c r="J643" s="475" t="s">
        <v>4821</v>
      </c>
    </row>
    <row r="644" spans="1:10" ht="14.25" customHeight="1">
      <c r="A644" s="520" t="s">
        <v>1050</v>
      </c>
      <c r="B644" s="521" t="s">
        <v>1051</v>
      </c>
      <c r="C644" s="520" t="s">
        <v>213</v>
      </c>
      <c r="D644" s="472">
        <v>13.992000000000001</v>
      </c>
      <c r="E644" s="522">
        <v>13.048999999999999</v>
      </c>
      <c r="F644" s="523" t="s">
        <v>4166</v>
      </c>
      <c r="G644" s="527" t="s">
        <v>3662</v>
      </c>
      <c r="H644" s="525" t="s">
        <v>3666</v>
      </c>
      <c r="I644" s="474"/>
      <c r="J644" s="475" t="s">
        <v>4822</v>
      </c>
    </row>
    <row r="645" spans="1:10" ht="14.25" customHeight="1">
      <c r="A645" s="520" t="s">
        <v>1052</v>
      </c>
      <c r="B645" s="521" t="s">
        <v>1053</v>
      </c>
      <c r="C645" s="520" t="s">
        <v>213</v>
      </c>
      <c r="D645" s="472">
        <v>13.992000000000001</v>
      </c>
      <c r="E645" s="522">
        <v>13.048999999999999</v>
      </c>
      <c r="F645" s="523">
        <v>2.6</v>
      </c>
      <c r="G645" s="527" t="s">
        <v>3662</v>
      </c>
      <c r="H645" s="525" t="s">
        <v>3666</v>
      </c>
      <c r="I645" s="474"/>
      <c r="J645" s="475" t="s">
        <v>4823</v>
      </c>
    </row>
    <row r="646" spans="1:10" ht="14.25" customHeight="1">
      <c r="A646" s="520" t="s">
        <v>1054</v>
      </c>
      <c r="B646" s="521" t="s">
        <v>1055</v>
      </c>
      <c r="C646" s="520" t="s">
        <v>213</v>
      </c>
      <c r="D646" s="472">
        <v>13.992000000000001</v>
      </c>
      <c r="E646" s="522">
        <v>13.048999999999999</v>
      </c>
      <c r="F646" s="523">
        <v>2.6</v>
      </c>
      <c r="G646" s="527" t="s">
        <v>3662</v>
      </c>
      <c r="H646" s="525" t="s">
        <v>3666</v>
      </c>
      <c r="I646" s="474"/>
      <c r="J646" s="475" t="s">
        <v>4824</v>
      </c>
    </row>
    <row r="647" spans="1:10" ht="14.25" customHeight="1">
      <c r="A647" s="520" t="s">
        <v>1056</v>
      </c>
      <c r="B647" s="521" t="s">
        <v>1057</v>
      </c>
      <c r="C647" s="520" t="s">
        <v>213</v>
      </c>
      <c r="D647" s="472">
        <v>13.992000000000001</v>
      </c>
      <c r="E647" s="522">
        <v>13.048999999999999</v>
      </c>
      <c r="F647" s="523">
        <v>2.6</v>
      </c>
      <c r="G647" s="527" t="s">
        <v>3662</v>
      </c>
      <c r="H647" s="525" t="s">
        <v>3666</v>
      </c>
      <c r="I647" s="474"/>
      <c r="J647" s="475" t="s">
        <v>4825</v>
      </c>
    </row>
    <row r="648" spans="1:10" ht="14.25" customHeight="1">
      <c r="A648" s="520" t="s">
        <v>1058</v>
      </c>
      <c r="B648" s="521" t="s">
        <v>1059</v>
      </c>
      <c r="C648" s="520" t="s">
        <v>213</v>
      </c>
      <c r="D648" s="472">
        <v>18.021999999999998</v>
      </c>
      <c r="E648" s="522">
        <v>16.795999999999999</v>
      </c>
      <c r="F648" s="523">
        <v>2.4</v>
      </c>
      <c r="G648" s="527" t="s">
        <v>3662</v>
      </c>
      <c r="H648" s="525" t="s">
        <v>3666</v>
      </c>
      <c r="I648" s="474"/>
      <c r="J648" s="475" t="s">
        <v>4826</v>
      </c>
    </row>
    <row r="649" spans="1:10" ht="14.25" customHeight="1">
      <c r="A649" s="520" t="s">
        <v>1060</v>
      </c>
      <c r="B649" s="521" t="s">
        <v>1061</v>
      </c>
      <c r="C649" s="520" t="s">
        <v>213</v>
      </c>
      <c r="D649" s="472">
        <v>18.02</v>
      </c>
      <c r="E649" s="522">
        <v>16.792999999999999</v>
      </c>
      <c r="F649" s="523">
        <v>2.4</v>
      </c>
      <c r="G649" s="527" t="s">
        <v>3662</v>
      </c>
      <c r="H649" s="525" t="s">
        <v>3666</v>
      </c>
      <c r="I649" s="474"/>
      <c r="J649" s="475" t="s">
        <v>4827</v>
      </c>
    </row>
    <row r="650" spans="1:10" ht="14.25" customHeight="1">
      <c r="A650" s="520" t="s">
        <v>1062</v>
      </c>
      <c r="B650" s="521" t="s">
        <v>1063</v>
      </c>
      <c r="C650" s="520" t="s">
        <v>213</v>
      </c>
      <c r="D650" s="472">
        <v>13.992000000000001</v>
      </c>
      <c r="E650" s="522">
        <v>13.048999999999999</v>
      </c>
      <c r="F650" s="523">
        <v>2.4</v>
      </c>
      <c r="G650" s="527" t="s">
        <v>3662</v>
      </c>
      <c r="H650" s="525" t="s">
        <v>3666</v>
      </c>
      <c r="I650" s="474"/>
      <c r="J650" s="475" t="s">
        <v>4828</v>
      </c>
    </row>
    <row r="651" spans="1:10" ht="14.25" customHeight="1">
      <c r="A651" s="520" t="s">
        <v>1064</v>
      </c>
      <c r="B651" s="521" t="s">
        <v>1065</v>
      </c>
      <c r="C651" s="520" t="s">
        <v>213</v>
      </c>
      <c r="D651" s="472">
        <v>13.992000000000001</v>
      </c>
      <c r="E651" s="522">
        <v>13.048999999999999</v>
      </c>
      <c r="F651" s="523">
        <v>2.6</v>
      </c>
      <c r="G651" s="527" t="s">
        <v>3662</v>
      </c>
      <c r="H651" s="525" t="s">
        <v>3666</v>
      </c>
      <c r="I651" s="474"/>
      <c r="J651" s="475" t="s">
        <v>4829</v>
      </c>
    </row>
    <row r="652" spans="1:10" ht="14.25" customHeight="1">
      <c r="A652" s="520" t="s">
        <v>1066</v>
      </c>
      <c r="B652" s="521" t="s">
        <v>1067</v>
      </c>
      <c r="C652" s="520" t="s">
        <v>213</v>
      </c>
      <c r="D652" s="472">
        <v>13.992000000000001</v>
      </c>
      <c r="E652" s="522">
        <v>13.048999999999999</v>
      </c>
      <c r="F652" s="523">
        <v>2.2000000000000002</v>
      </c>
      <c r="G652" s="527" t="s">
        <v>3662</v>
      </c>
      <c r="H652" s="525" t="s">
        <v>3666</v>
      </c>
      <c r="I652" s="474"/>
      <c r="J652" s="475" t="s">
        <v>4830</v>
      </c>
    </row>
    <row r="653" spans="1:10" ht="14.25" customHeight="1">
      <c r="A653" s="520" t="s">
        <v>1068</v>
      </c>
      <c r="B653" s="521" t="s">
        <v>1069</v>
      </c>
      <c r="C653" s="520" t="s">
        <v>213</v>
      </c>
      <c r="D653" s="472">
        <v>13.992000000000001</v>
      </c>
      <c r="E653" s="522">
        <v>13.048999999999999</v>
      </c>
      <c r="F653" s="523">
        <v>2.6</v>
      </c>
      <c r="G653" s="527" t="s">
        <v>3662</v>
      </c>
      <c r="H653" s="525" t="s">
        <v>3666</v>
      </c>
      <c r="I653" s="474"/>
      <c r="J653" s="475" t="s">
        <v>4831</v>
      </c>
    </row>
    <row r="654" spans="1:10" ht="14.25" customHeight="1">
      <c r="A654" s="520" t="s">
        <v>1070</v>
      </c>
      <c r="B654" s="521" t="s">
        <v>1071</v>
      </c>
      <c r="C654" s="520" t="s">
        <v>213</v>
      </c>
      <c r="D654" s="472">
        <v>13.992000000000001</v>
      </c>
      <c r="E654" s="522">
        <v>13.048999999999999</v>
      </c>
      <c r="F654" s="523" t="s">
        <v>4166</v>
      </c>
      <c r="G654" s="527" t="s">
        <v>3662</v>
      </c>
      <c r="H654" s="525" t="s">
        <v>3666</v>
      </c>
      <c r="I654" s="474"/>
      <c r="J654" s="475" t="s">
        <v>4832</v>
      </c>
    </row>
    <row r="655" spans="1:10" ht="14.25" customHeight="1">
      <c r="A655" s="520" t="s">
        <v>1072</v>
      </c>
      <c r="B655" s="521" t="s">
        <v>1073</v>
      </c>
      <c r="C655" s="520" t="s">
        <v>213</v>
      </c>
      <c r="D655" s="472">
        <v>13.992000000000001</v>
      </c>
      <c r="E655" s="522">
        <v>13.048999999999999</v>
      </c>
      <c r="F655" s="523" t="s">
        <v>4166</v>
      </c>
      <c r="G655" s="527" t="s">
        <v>3662</v>
      </c>
      <c r="H655" s="525" t="s">
        <v>3666</v>
      </c>
      <c r="I655" s="474"/>
      <c r="J655" s="475" t="s">
        <v>4833</v>
      </c>
    </row>
    <row r="656" spans="1:10" ht="14.25" customHeight="1">
      <c r="A656" s="520" t="s">
        <v>1074</v>
      </c>
      <c r="B656" s="521" t="s">
        <v>1075</v>
      </c>
      <c r="C656" s="520" t="s">
        <v>213</v>
      </c>
      <c r="D656" s="472">
        <v>13.992000000000001</v>
      </c>
      <c r="E656" s="522">
        <v>13.048999999999999</v>
      </c>
      <c r="F656" s="523" t="s">
        <v>4166</v>
      </c>
      <c r="G656" s="527" t="s">
        <v>3662</v>
      </c>
      <c r="H656" s="525" t="s">
        <v>3666</v>
      </c>
      <c r="I656" s="474"/>
      <c r="J656" s="475" t="s">
        <v>4834</v>
      </c>
    </row>
    <row r="657" spans="1:10" ht="14.25" customHeight="1">
      <c r="A657" s="520" t="s">
        <v>1076</v>
      </c>
      <c r="B657" s="521" t="s">
        <v>1077</v>
      </c>
      <c r="C657" s="520" t="s">
        <v>213</v>
      </c>
      <c r="D657" s="472">
        <v>13.992000000000001</v>
      </c>
      <c r="E657" s="522">
        <v>13.048999999999999</v>
      </c>
      <c r="F657" s="523" t="s">
        <v>4166</v>
      </c>
      <c r="G657" s="527" t="s">
        <v>3662</v>
      </c>
      <c r="H657" s="525" t="s">
        <v>3666</v>
      </c>
      <c r="I657" s="474"/>
      <c r="J657" s="475" t="s">
        <v>4835</v>
      </c>
    </row>
    <row r="658" spans="1:10" ht="14.25" customHeight="1">
      <c r="A658" s="520" t="s">
        <v>1078</v>
      </c>
      <c r="B658" s="521" t="s">
        <v>1079</v>
      </c>
      <c r="C658" s="520" t="s">
        <v>213</v>
      </c>
      <c r="D658" s="472">
        <v>13.992000000000001</v>
      </c>
      <c r="E658" s="522">
        <v>13.048999999999999</v>
      </c>
      <c r="F658" s="523" t="s">
        <v>4166</v>
      </c>
      <c r="G658" s="527" t="s">
        <v>3662</v>
      </c>
      <c r="H658" s="525" t="s">
        <v>3666</v>
      </c>
      <c r="I658" s="474"/>
      <c r="J658" s="475" t="s">
        <v>4836</v>
      </c>
    </row>
    <row r="659" spans="1:10" ht="14.25" customHeight="1">
      <c r="A659" s="559" t="s">
        <v>3227</v>
      </c>
      <c r="B659" s="560" t="s">
        <v>3228</v>
      </c>
      <c r="C659" s="559" t="s">
        <v>213</v>
      </c>
      <c r="D659" s="472">
        <v>5.8860000000000001</v>
      </c>
      <c r="E659" s="522">
        <v>5.4820000000000002</v>
      </c>
      <c r="F659" s="523" t="s">
        <v>4166</v>
      </c>
      <c r="G659" s="527" t="s">
        <v>3662</v>
      </c>
      <c r="H659" s="525" t="s">
        <v>3666</v>
      </c>
      <c r="I659" s="474"/>
      <c r="J659" s="475" t="s">
        <v>4837</v>
      </c>
    </row>
    <row r="660" spans="1:10" ht="14.25" customHeight="1">
      <c r="A660" s="559" t="s">
        <v>3229</v>
      </c>
      <c r="B660" s="560" t="s">
        <v>3230</v>
      </c>
      <c r="C660" s="559" t="s">
        <v>213</v>
      </c>
      <c r="D660" s="472">
        <v>5.8860000000000001</v>
      </c>
      <c r="E660" s="522">
        <v>5.4820000000000002</v>
      </c>
      <c r="F660" s="523" t="s">
        <v>4166</v>
      </c>
      <c r="G660" s="527" t="s">
        <v>3662</v>
      </c>
      <c r="H660" s="525" t="s">
        <v>3666</v>
      </c>
      <c r="I660" s="474"/>
      <c r="J660" s="475" t="s">
        <v>4838</v>
      </c>
    </row>
    <row r="661" spans="1:10" ht="14.25" customHeight="1">
      <c r="A661" s="559" t="s">
        <v>3231</v>
      </c>
      <c r="B661" s="560" t="s">
        <v>3232</v>
      </c>
      <c r="C661" s="559" t="s">
        <v>213</v>
      </c>
      <c r="D661" s="472">
        <v>5.8860000000000001</v>
      </c>
      <c r="E661" s="522">
        <v>5.4820000000000002</v>
      </c>
      <c r="F661" s="523" t="s">
        <v>4166</v>
      </c>
      <c r="G661" s="527" t="s">
        <v>3662</v>
      </c>
      <c r="H661" s="525" t="s">
        <v>3666</v>
      </c>
      <c r="I661" s="474"/>
      <c r="J661" s="475" t="s">
        <v>4839</v>
      </c>
    </row>
    <row r="662" spans="1:10" ht="14.25" customHeight="1">
      <c r="A662" s="559" t="s">
        <v>3233</v>
      </c>
      <c r="B662" s="560" t="s">
        <v>3234</v>
      </c>
      <c r="C662" s="559" t="s">
        <v>213</v>
      </c>
      <c r="D662" s="472">
        <v>5.8860000000000001</v>
      </c>
      <c r="E662" s="522">
        <v>5.4820000000000002</v>
      </c>
      <c r="F662" s="523" t="s">
        <v>4166</v>
      </c>
      <c r="G662" s="527" t="s">
        <v>3662</v>
      </c>
      <c r="H662" s="525" t="s">
        <v>3666</v>
      </c>
      <c r="I662" s="474"/>
      <c r="J662" s="475" t="s">
        <v>4840</v>
      </c>
    </row>
    <row r="663" spans="1:10" ht="14.25" customHeight="1">
      <c r="A663" s="559" t="s">
        <v>3235</v>
      </c>
      <c r="B663" s="560" t="s">
        <v>3236</v>
      </c>
      <c r="C663" s="559" t="s">
        <v>213</v>
      </c>
      <c r="D663" s="472">
        <v>5.8860000000000001</v>
      </c>
      <c r="E663" s="522">
        <v>5.4820000000000002</v>
      </c>
      <c r="F663" s="523" t="s">
        <v>4166</v>
      </c>
      <c r="G663" s="527" t="s">
        <v>3662</v>
      </c>
      <c r="H663" s="525" t="s">
        <v>3666</v>
      </c>
      <c r="I663" s="474"/>
      <c r="J663" s="475" t="s">
        <v>4841</v>
      </c>
    </row>
    <row r="664" spans="1:10" ht="14.25" customHeight="1">
      <c r="A664" s="559" t="s">
        <v>3237</v>
      </c>
      <c r="B664" s="560" t="s">
        <v>3238</v>
      </c>
      <c r="C664" s="559" t="s">
        <v>213</v>
      </c>
      <c r="D664" s="472">
        <v>5.8860000000000001</v>
      </c>
      <c r="E664" s="522">
        <v>5.4820000000000002</v>
      </c>
      <c r="F664" s="523" t="s">
        <v>4166</v>
      </c>
      <c r="G664" s="527" t="s">
        <v>3662</v>
      </c>
      <c r="H664" s="525" t="s">
        <v>3666</v>
      </c>
      <c r="I664" s="474"/>
      <c r="J664" s="475" t="s">
        <v>4842</v>
      </c>
    </row>
    <row r="665" spans="1:10" ht="14.25" customHeight="1">
      <c r="A665" s="520" t="s">
        <v>1080</v>
      </c>
      <c r="B665" s="521" t="s">
        <v>1081</v>
      </c>
      <c r="C665" s="520" t="s">
        <v>213</v>
      </c>
      <c r="D665" s="472">
        <v>0.61499999999999999</v>
      </c>
      <c r="E665" s="522">
        <v>0.57199999999999995</v>
      </c>
      <c r="F665" s="523" t="s">
        <v>4166</v>
      </c>
      <c r="G665" s="524" t="s">
        <v>3663</v>
      </c>
      <c r="H665" s="525" t="s">
        <v>3666</v>
      </c>
      <c r="I665" s="474"/>
      <c r="J665" s="475" t="s">
        <v>4843</v>
      </c>
    </row>
    <row r="666" spans="1:10" ht="14.25" customHeight="1">
      <c r="A666" s="520" t="s">
        <v>1082</v>
      </c>
      <c r="B666" s="521" t="s">
        <v>1083</v>
      </c>
      <c r="C666" s="520" t="s">
        <v>213</v>
      </c>
      <c r="D666" s="472">
        <v>2.544</v>
      </c>
      <c r="E666" s="522">
        <v>2.3719999999999999</v>
      </c>
      <c r="F666" s="523" t="s">
        <v>4166</v>
      </c>
      <c r="G666" s="524" t="s">
        <v>3663</v>
      </c>
      <c r="H666" s="525" t="s">
        <v>3666</v>
      </c>
      <c r="I666" s="474"/>
      <c r="J666" s="475" t="s">
        <v>4844</v>
      </c>
    </row>
    <row r="667" spans="1:10" ht="14.25" customHeight="1">
      <c r="A667" s="520" t="s">
        <v>3890</v>
      </c>
      <c r="B667" s="521" t="s">
        <v>3891</v>
      </c>
      <c r="C667" s="520" t="s">
        <v>213</v>
      </c>
      <c r="D667" s="472">
        <v>2.544</v>
      </c>
      <c r="E667" s="522">
        <v>2.3719999999999999</v>
      </c>
      <c r="F667" s="523" t="s">
        <v>4166</v>
      </c>
      <c r="G667" s="524" t="s">
        <v>3663</v>
      </c>
      <c r="H667" s="525" t="s">
        <v>3666</v>
      </c>
      <c r="I667" s="474"/>
      <c r="J667" s="475" t="s">
        <v>4845</v>
      </c>
    </row>
    <row r="668" spans="1:10" ht="14.25" customHeight="1">
      <c r="A668" s="520" t="s">
        <v>1084</v>
      </c>
      <c r="B668" s="521" t="s">
        <v>1085</v>
      </c>
      <c r="C668" s="520" t="s">
        <v>213</v>
      </c>
      <c r="D668" s="472">
        <v>10.09</v>
      </c>
      <c r="E668" s="522">
        <v>9.4109999999999996</v>
      </c>
      <c r="F668" s="523" t="s">
        <v>4166</v>
      </c>
      <c r="G668" s="524" t="s">
        <v>3663</v>
      </c>
      <c r="H668" s="525" t="s">
        <v>3666</v>
      </c>
      <c r="I668" s="474"/>
      <c r="J668" s="475" t="s">
        <v>4846</v>
      </c>
    </row>
    <row r="669" spans="1:10" ht="14.25" customHeight="1">
      <c r="A669" s="520" t="s">
        <v>1086</v>
      </c>
      <c r="B669" s="521" t="s">
        <v>1087</v>
      </c>
      <c r="C669" s="520" t="s">
        <v>213</v>
      </c>
      <c r="D669" s="472">
        <v>10.09</v>
      </c>
      <c r="E669" s="522">
        <v>9.4109999999999996</v>
      </c>
      <c r="F669" s="523" t="s">
        <v>4166</v>
      </c>
      <c r="G669" s="524" t="s">
        <v>3663</v>
      </c>
      <c r="H669" s="525" t="s">
        <v>3666</v>
      </c>
      <c r="I669" s="474"/>
      <c r="J669" s="475" t="s">
        <v>4847</v>
      </c>
    </row>
    <row r="670" spans="1:10" ht="14.25" customHeight="1">
      <c r="A670" s="520" t="s">
        <v>1088</v>
      </c>
      <c r="B670" s="521" t="s">
        <v>1089</v>
      </c>
      <c r="C670" s="520" t="s">
        <v>213</v>
      </c>
      <c r="D670" s="472">
        <v>10.09</v>
      </c>
      <c r="E670" s="522">
        <v>9.4109999999999996</v>
      </c>
      <c r="F670" s="523" t="s">
        <v>4166</v>
      </c>
      <c r="G670" s="524" t="s">
        <v>3663</v>
      </c>
      <c r="H670" s="525" t="s">
        <v>3666</v>
      </c>
      <c r="I670" s="474"/>
      <c r="J670" s="475" t="s">
        <v>4848</v>
      </c>
    </row>
    <row r="671" spans="1:10" ht="14.25" customHeight="1">
      <c r="A671" s="520" t="s">
        <v>1090</v>
      </c>
      <c r="B671" s="521" t="s">
        <v>1091</v>
      </c>
      <c r="C671" s="520" t="s">
        <v>213</v>
      </c>
      <c r="D671" s="472">
        <v>12.038</v>
      </c>
      <c r="E671" s="522">
        <v>11.221</v>
      </c>
      <c r="F671" s="523" t="s">
        <v>4166</v>
      </c>
      <c r="G671" s="524" t="s">
        <v>3663</v>
      </c>
      <c r="H671" s="525" t="s">
        <v>3666</v>
      </c>
      <c r="I671" s="474"/>
      <c r="J671" s="475" t="s">
        <v>4849</v>
      </c>
    </row>
    <row r="672" spans="1:10" ht="14.25" customHeight="1">
      <c r="A672" s="520" t="s">
        <v>1092</v>
      </c>
      <c r="B672" s="521" t="s">
        <v>1093</v>
      </c>
      <c r="C672" s="520" t="s">
        <v>213</v>
      </c>
      <c r="D672" s="472">
        <v>12.038</v>
      </c>
      <c r="E672" s="522">
        <v>11.221</v>
      </c>
      <c r="F672" s="523" t="s">
        <v>4166</v>
      </c>
      <c r="G672" s="524" t="s">
        <v>3663</v>
      </c>
      <c r="H672" s="525" t="s">
        <v>3666</v>
      </c>
      <c r="I672" s="474"/>
      <c r="J672" s="475" t="s">
        <v>4850</v>
      </c>
    </row>
    <row r="673" spans="1:10" ht="14.25" customHeight="1">
      <c r="A673" s="559" t="s">
        <v>3239</v>
      </c>
      <c r="B673" s="560" t="s">
        <v>3240</v>
      </c>
      <c r="C673" s="559" t="s">
        <v>213</v>
      </c>
      <c r="D673" s="472">
        <v>6.915</v>
      </c>
      <c r="E673" s="522">
        <v>6.45</v>
      </c>
      <c r="F673" s="523" t="s">
        <v>4166</v>
      </c>
      <c r="G673" s="524" t="s">
        <v>3663</v>
      </c>
      <c r="H673" s="525" t="s">
        <v>3666</v>
      </c>
      <c r="I673" s="474"/>
      <c r="J673" s="475" t="s">
        <v>4851</v>
      </c>
    </row>
    <row r="674" spans="1:10" ht="14.25" customHeight="1">
      <c r="A674" s="559" t="s">
        <v>3241</v>
      </c>
      <c r="B674" s="560" t="s">
        <v>3242</v>
      </c>
      <c r="C674" s="559" t="s">
        <v>213</v>
      </c>
      <c r="D674" s="472">
        <v>5.6740000000000004</v>
      </c>
      <c r="E674" s="522">
        <v>5.2910000000000004</v>
      </c>
      <c r="F674" s="523" t="s">
        <v>4166</v>
      </c>
      <c r="G674" s="524" t="s">
        <v>3663</v>
      </c>
      <c r="H674" s="525" t="s">
        <v>3666</v>
      </c>
      <c r="I674" s="474"/>
      <c r="J674" s="475" t="s">
        <v>4852</v>
      </c>
    </row>
    <row r="675" spans="1:10" ht="14.25" customHeight="1">
      <c r="A675" s="520" t="s">
        <v>1094</v>
      </c>
      <c r="B675" s="521" t="s">
        <v>1095</v>
      </c>
      <c r="C675" s="520" t="s">
        <v>213</v>
      </c>
      <c r="D675" s="472">
        <v>0.29899999999999999</v>
      </c>
      <c r="E675" s="522">
        <v>0.24199999999999999</v>
      </c>
      <c r="F675" s="523" t="s">
        <v>4166</v>
      </c>
      <c r="G675" s="524"/>
      <c r="H675" s="525" t="s">
        <v>3666</v>
      </c>
      <c r="I675" s="474"/>
      <c r="J675" s="475" t="s">
        <v>4853</v>
      </c>
    </row>
    <row r="676" spans="1:10" ht="14.25" customHeight="1">
      <c r="A676" s="559" t="s">
        <v>3243</v>
      </c>
      <c r="B676" s="560" t="s">
        <v>3244</v>
      </c>
      <c r="C676" s="559" t="s">
        <v>213</v>
      </c>
      <c r="D676" s="472">
        <v>6.915</v>
      </c>
      <c r="E676" s="522">
        <v>6.45</v>
      </c>
      <c r="F676" s="523" t="s">
        <v>4166</v>
      </c>
      <c r="G676" s="524" t="s">
        <v>3663</v>
      </c>
      <c r="H676" s="525" t="s">
        <v>3666</v>
      </c>
      <c r="I676" s="474"/>
      <c r="J676" s="475" t="s">
        <v>4854</v>
      </c>
    </row>
    <row r="677" spans="1:10" ht="14.25" customHeight="1">
      <c r="A677" s="559" t="s">
        <v>3245</v>
      </c>
      <c r="B677" s="560" t="s">
        <v>3246</v>
      </c>
      <c r="C677" s="559" t="s">
        <v>213</v>
      </c>
      <c r="D677" s="472">
        <v>6.915</v>
      </c>
      <c r="E677" s="522">
        <v>6.45</v>
      </c>
      <c r="F677" s="523" t="s">
        <v>4166</v>
      </c>
      <c r="G677" s="524" t="s">
        <v>3663</v>
      </c>
      <c r="H677" s="525" t="s">
        <v>3666</v>
      </c>
      <c r="I677" s="474"/>
      <c r="J677" s="475" t="s">
        <v>4855</v>
      </c>
    </row>
    <row r="678" spans="1:10" ht="14.25" customHeight="1">
      <c r="A678" s="559" t="s">
        <v>3247</v>
      </c>
      <c r="B678" s="560" t="s">
        <v>3248</v>
      </c>
      <c r="C678" s="559" t="s">
        <v>213</v>
      </c>
      <c r="D678" s="472">
        <v>5.6740000000000004</v>
      </c>
      <c r="E678" s="522">
        <v>5.2910000000000004</v>
      </c>
      <c r="F678" s="523" t="s">
        <v>4166</v>
      </c>
      <c r="G678" s="524" t="s">
        <v>3663</v>
      </c>
      <c r="H678" s="525" t="s">
        <v>3666</v>
      </c>
      <c r="I678" s="474"/>
      <c r="J678" s="475" t="s">
        <v>4856</v>
      </c>
    </row>
    <row r="679" spans="1:10" ht="14.25" customHeight="1">
      <c r="A679" s="559" t="s">
        <v>3249</v>
      </c>
      <c r="B679" s="560" t="s">
        <v>3250</v>
      </c>
      <c r="C679" s="559" t="s">
        <v>213</v>
      </c>
      <c r="D679" s="472">
        <v>6.915</v>
      </c>
      <c r="E679" s="522">
        <v>6.45</v>
      </c>
      <c r="F679" s="523" t="s">
        <v>4166</v>
      </c>
      <c r="G679" s="524" t="s">
        <v>3663</v>
      </c>
      <c r="H679" s="525" t="s">
        <v>3666</v>
      </c>
      <c r="I679" s="474"/>
      <c r="J679" s="475" t="s">
        <v>4857</v>
      </c>
    </row>
    <row r="680" spans="1:10" ht="14.25" customHeight="1">
      <c r="A680" s="559" t="s">
        <v>3251</v>
      </c>
      <c r="B680" s="560" t="s">
        <v>3252</v>
      </c>
      <c r="C680" s="559" t="s">
        <v>213</v>
      </c>
      <c r="D680" s="472">
        <v>17.824999999999999</v>
      </c>
      <c r="E680" s="522">
        <v>16.628</v>
      </c>
      <c r="F680" s="523" t="s">
        <v>4166</v>
      </c>
      <c r="G680" s="524" t="s">
        <v>3663</v>
      </c>
      <c r="H680" s="525" t="s">
        <v>3666</v>
      </c>
      <c r="I680" s="474"/>
      <c r="J680" s="475" t="s">
        <v>4858</v>
      </c>
    </row>
    <row r="681" spans="1:10" ht="14.25" customHeight="1">
      <c r="A681" s="559" t="s">
        <v>3253</v>
      </c>
      <c r="B681" s="560" t="s">
        <v>3254</v>
      </c>
      <c r="C681" s="559" t="s">
        <v>213</v>
      </c>
      <c r="D681" s="472">
        <v>7.4029999999999996</v>
      </c>
      <c r="E681" s="522">
        <v>6.9039999999999999</v>
      </c>
      <c r="F681" s="523" t="s">
        <v>4166</v>
      </c>
      <c r="G681" s="524" t="s">
        <v>3663</v>
      </c>
      <c r="H681" s="525" t="s">
        <v>3666</v>
      </c>
      <c r="I681" s="474"/>
      <c r="J681" s="475" t="s">
        <v>4859</v>
      </c>
    </row>
    <row r="682" spans="1:10" ht="14.25" customHeight="1">
      <c r="A682" s="559" t="s">
        <v>3255</v>
      </c>
      <c r="B682" s="560" t="s">
        <v>3256</v>
      </c>
      <c r="C682" s="559" t="s">
        <v>213</v>
      </c>
      <c r="D682" s="472">
        <v>17.824999999999999</v>
      </c>
      <c r="E682" s="522">
        <v>16.628</v>
      </c>
      <c r="F682" s="523" t="s">
        <v>4166</v>
      </c>
      <c r="G682" s="524" t="s">
        <v>3663</v>
      </c>
      <c r="H682" s="525" t="s">
        <v>3666</v>
      </c>
      <c r="I682" s="474"/>
      <c r="J682" s="475" t="s">
        <v>4860</v>
      </c>
    </row>
    <row r="683" spans="1:10" ht="14.25" customHeight="1">
      <c r="A683" s="559" t="s">
        <v>3257</v>
      </c>
      <c r="B683" s="560" t="s">
        <v>3258</v>
      </c>
      <c r="C683" s="559" t="s">
        <v>213</v>
      </c>
      <c r="D683" s="472">
        <v>17.824999999999999</v>
      </c>
      <c r="E683" s="522">
        <v>16.628</v>
      </c>
      <c r="F683" s="523" t="s">
        <v>4166</v>
      </c>
      <c r="G683" s="524" t="s">
        <v>3663</v>
      </c>
      <c r="H683" s="525" t="s">
        <v>3666</v>
      </c>
      <c r="I683" s="474"/>
      <c r="J683" s="475" t="s">
        <v>4861</v>
      </c>
    </row>
    <row r="684" spans="1:10" ht="14.25" customHeight="1">
      <c r="A684" s="559" t="s">
        <v>3259</v>
      </c>
      <c r="B684" s="560" t="s">
        <v>3260</v>
      </c>
      <c r="C684" s="559" t="s">
        <v>213</v>
      </c>
      <c r="D684" s="472">
        <v>7.4029999999999996</v>
      </c>
      <c r="E684" s="522">
        <v>6.9039999999999999</v>
      </c>
      <c r="F684" s="523" t="s">
        <v>4166</v>
      </c>
      <c r="G684" s="524" t="s">
        <v>3663</v>
      </c>
      <c r="H684" s="525" t="s">
        <v>3666</v>
      </c>
      <c r="I684" s="474"/>
      <c r="J684" s="475" t="s">
        <v>4862</v>
      </c>
    </row>
    <row r="685" spans="1:10" ht="14.25" customHeight="1">
      <c r="A685" s="559" t="s">
        <v>3261</v>
      </c>
      <c r="B685" s="560" t="s">
        <v>3262</v>
      </c>
      <c r="C685" s="559" t="s">
        <v>213</v>
      </c>
      <c r="D685" s="472">
        <v>17.824999999999999</v>
      </c>
      <c r="E685" s="522">
        <v>16.628</v>
      </c>
      <c r="F685" s="523" t="s">
        <v>4166</v>
      </c>
      <c r="G685" s="524" t="s">
        <v>3663</v>
      </c>
      <c r="H685" s="525" t="s">
        <v>3666</v>
      </c>
      <c r="I685" s="474"/>
      <c r="J685" s="475" t="s">
        <v>4863</v>
      </c>
    </row>
    <row r="686" spans="1:10" ht="14.25" customHeight="1">
      <c r="A686" s="559" t="s">
        <v>3263</v>
      </c>
      <c r="B686" s="560" t="s">
        <v>3264</v>
      </c>
      <c r="C686" s="559" t="s">
        <v>213</v>
      </c>
      <c r="D686" s="472">
        <v>21.928000000000001</v>
      </c>
      <c r="E686" s="522">
        <v>20.448</v>
      </c>
      <c r="F686" s="523" t="s">
        <v>4166</v>
      </c>
      <c r="G686" s="524" t="s">
        <v>3663</v>
      </c>
      <c r="H686" s="525" t="s">
        <v>3666</v>
      </c>
      <c r="I686" s="474"/>
      <c r="J686" s="475" t="s">
        <v>4864</v>
      </c>
    </row>
    <row r="687" spans="1:10" ht="14.25" customHeight="1">
      <c r="A687" s="559" t="s">
        <v>3265</v>
      </c>
      <c r="B687" s="560" t="s">
        <v>3266</v>
      </c>
      <c r="C687" s="559" t="s">
        <v>213</v>
      </c>
      <c r="D687" s="472">
        <v>8.1150000000000002</v>
      </c>
      <c r="E687" s="522">
        <v>7.5670000000000002</v>
      </c>
      <c r="F687" s="523" t="s">
        <v>4166</v>
      </c>
      <c r="G687" s="524" t="s">
        <v>3663</v>
      </c>
      <c r="H687" s="525" t="s">
        <v>3666</v>
      </c>
      <c r="I687" s="474"/>
      <c r="J687" s="475" t="s">
        <v>4865</v>
      </c>
    </row>
    <row r="688" spans="1:10" ht="14.25" customHeight="1">
      <c r="A688" s="520" t="s">
        <v>1096</v>
      </c>
      <c r="B688" s="521" t="s">
        <v>1097</v>
      </c>
      <c r="C688" s="520" t="s">
        <v>213</v>
      </c>
      <c r="D688" s="472">
        <v>2.544</v>
      </c>
      <c r="E688" s="522">
        <v>2.3719999999999999</v>
      </c>
      <c r="F688" s="523" t="s">
        <v>4166</v>
      </c>
      <c r="G688" s="524" t="s">
        <v>3663</v>
      </c>
      <c r="H688" s="525" t="s">
        <v>3666</v>
      </c>
      <c r="I688" s="474"/>
      <c r="J688" s="475" t="s">
        <v>4866</v>
      </c>
    </row>
    <row r="689" spans="1:10" ht="14.25" customHeight="1">
      <c r="A689" s="559" t="s">
        <v>3267</v>
      </c>
      <c r="B689" s="560" t="s">
        <v>3268</v>
      </c>
      <c r="C689" s="559" t="s">
        <v>213</v>
      </c>
      <c r="D689" s="472">
        <v>21.928000000000001</v>
      </c>
      <c r="E689" s="522">
        <v>20.448</v>
      </c>
      <c r="F689" s="523" t="s">
        <v>4166</v>
      </c>
      <c r="G689" s="524" t="s">
        <v>3663</v>
      </c>
      <c r="H689" s="525" t="s">
        <v>3666</v>
      </c>
      <c r="I689" s="474"/>
      <c r="J689" s="475" t="s">
        <v>4867</v>
      </c>
    </row>
    <row r="690" spans="1:10" ht="14.25" customHeight="1">
      <c r="A690" s="559" t="s">
        <v>3269</v>
      </c>
      <c r="B690" s="560" t="s">
        <v>3270</v>
      </c>
      <c r="C690" s="559" t="s">
        <v>213</v>
      </c>
      <c r="D690" s="472">
        <v>21.928000000000001</v>
      </c>
      <c r="E690" s="522">
        <v>20.448</v>
      </c>
      <c r="F690" s="523" t="s">
        <v>4166</v>
      </c>
      <c r="G690" s="524" t="s">
        <v>3663</v>
      </c>
      <c r="H690" s="525" t="s">
        <v>3666</v>
      </c>
      <c r="I690" s="474"/>
      <c r="J690" s="475" t="s">
        <v>4868</v>
      </c>
    </row>
    <row r="691" spans="1:10" ht="14.25" customHeight="1">
      <c r="A691" s="559" t="s">
        <v>3271</v>
      </c>
      <c r="B691" s="560" t="s">
        <v>3272</v>
      </c>
      <c r="C691" s="559" t="s">
        <v>213</v>
      </c>
      <c r="D691" s="472">
        <v>8.1150000000000002</v>
      </c>
      <c r="E691" s="522">
        <v>7.5670000000000002</v>
      </c>
      <c r="F691" s="523" t="s">
        <v>4166</v>
      </c>
      <c r="G691" s="524" t="s">
        <v>3663</v>
      </c>
      <c r="H691" s="525" t="s">
        <v>3666</v>
      </c>
      <c r="I691" s="474"/>
      <c r="J691" s="475" t="s">
        <v>4869</v>
      </c>
    </row>
    <row r="692" spans="1:10" ht="14.25" customHeight="1">
      <c r="A692" s="559" t="s">
        <v>3273</v>
      </c>
      <c r="B692" s="560" t="s">
        <v>3274</v>
      </c>
      <c r="C692" s="559" t="s">
        <v>213</v>
      </c>
      <c r="D692" s="472">
        <v>21.928000000000001</v>
      </c>
      <c r="E692" s="522">
        <v>20.448</v>
      </c>
      <c r="F692" s="523" t="s">
        <v>4166</v>
      </c>
      <c r="G692" s="524" t="s">
        <v>3663</v>
      </c>
      <c r="H692" s="525" t="s">
        <v>3666</v>
      </c>
      <c r="I692" s="474"/>
      <c r="J692" s="475" t="s">
        <v>4870</v>
      </c>
    </row>
    <row r="693" spans="1:10" ht="14.25" customHeight="1">
      <c r="A693" s="520" t="s">
        <v>1098</v>
      </c>
      <c r="B693" s="521" t="s">
        <v>1099</v>
      </c>
      <c r="C693" s="520" t="s">
        <v>213</v>
      </c>
      <c r="D693" s="472">
        <v>0.67400000000000004</v>
      </c>
      <c r="E693" s="522">
        <v>0.62</v>
      </c>
      <c r="F693" s="523" t="s">
        <v>4166</v>
      </c>
      <c r="G693" s="524" t="s">
        <v>3663</v>
      </c>
      <c r="H693" s="525" t="s">
        <v>3666</v>
      </c>
      <c r="I693" s="474"/>
      <c r="J693" s="475" t="s">
        <v>4871</v>
      </c>
    </row>
    <row r="694" spans="1:10" ht="14.25" customHeight="1">
      <c r="A694" s="520" t="s">
        <v>1100</v>
      </c>
      <c r="B694" s="521" t="s">
        <v>1101</v>
      </c>
      <c r="C694" s="520" t="s">
        <v>213</v>
      </c>
      <c r="D694" s="472">
        <v>0.67400000000000004</v>
      </c>
      <c r="E694" s="522">
        <v>2.3250000000000002</v>
      </c>
      <c r="F694" s="523" t="s">
        <v>4166</v>
      </c>
      <c r="G694" s="524" t="s">
        <v>3663</v>
      </c>
      <c r="H694" s="525" t="s">
        <v>3666</v>
      </c>
      <c r="I694" s="474"/>
      <c r="J694" s="475" t="s">
        <v>4872</v>
      </c>
    </row>
    <row r="695" spans="1:10" ht="14.25" customHeight="1">
      <c r="A695" s="520" t="s">
        <v>1102</v>
      </c>
      <c r="B695" s="521" t="s">
        <v>1103</v>
      </c>
      <c r="C695" s="520" t="s">
        <v>213</v>
      </c>
      <c r="D695" s="472">
        <v>0.76500000000000001</v>
      </c>
      <c r="E695" s="522">
        <v>0.33900000000000002</v>
      </c>
      <c r="F695" s="523" t="s">
        <v>4166</v>
      </c>
      <c r="G695" s="524" t="s">
        <v>3663</v>
      </c>
      <c r="H695" s="525" t="s">
        <v>3666</v>
      </c>
      <c r="I695" s="474"/>
      <c r="J695" s="475" t="s">
        <v>4873</v>
      </c>
    </row>
    <row r="696" spans="1:10" ht="14.25" customHeight="1">
      <c r="A696" s="559" t="s">
        <v>3275</v>
      </c>
      <c r="B696" s="560" t="s">
        <v>3276</v>
      </c>
      <c r="C696" s="559" t="s">
        <v>213</v>
      </c>
      <c r="D696" s="472">
        <v>3.077</v>
      </c>
      <c r="E696" s="522">
        <v>2.871</v>
      </c>
      <c r="F696" s="523" t="s">
        <v>4166</v>
      </c>
      <c r="G696" s="524" t="s">
        <v>3663</v>
      </c>
      <c r="H696" s="525" t="s">
        <v>3666</v>
      </c>
      <c r="I696" s="474"/>
      <c r="J696" s="475" t="s">
        <v>4874</v>
      </c>
    </row>
    <row r="697" spans="1:10" ht="14.25" customHeight="1">
      <c r="A697" s="559" t="s">
        <v>3277</v>
      </c>
      <c r="B697" s="560" t="s">
        <v>3278</v>
      </c>
      <c r="C697" s="559" t="s">
        <v>213</v>
      </c>
      <c r="D697" s="472">
        <v>2.8420000000000001</v>
      </c>
      <c r="E697" s="522">
        <v>2.649</v>
      </c>
      <c r="F697" s="523" t="s">
        <v>4166</v>
      </c>
      <c r="G697" s="524" t="s">
        <v>3663</v>
      </c>
      <c r="H697" s="525" t="s">
        <v>3666</v>
      </c>
      <c r="I697" s="474"/>
      <c r="J697" s="475" t="s">
        <v>4875</v>
      </c>
    </row>
    <row r="698" spans="1:10" ht="14.25" customHeight="1">
      <c r="A698" s="520" t="s">
        <v>1104</v>
      </c>
      <c r="B698" s="521" t="s">
        <v>1105</v>
      </c>
      <c r="C698" s="520" t="s">
        <v>213</v>
      </c>
      <c r="D698" s="472">
        <v>0.30499999999999999</v>
      </c>
      <c r="E698" s="522">
        <v>0.28399999999999997</v>
      </c>
      <c r="F698" s="523" t="s">
        <v>4166</v>
      </c>
      <c r="G698" s="526" t="s">
        <v>3668</v>
      </c>
      <c r="H698" s="525" t="s">
        <v>3669</v>
      </c>
      <c r="I698" s="474">
        <v>4016.93</v>
      </c>
      <c r="J698" s="475" t="s">
        <v>4876</v>
      </c>
    </row>
    <row r="699" spans="1:10" ht="14.25" customHeight="1">
      <c r="A699" s="520" t="s">
        <v>1106</v>
      </c>
      <c r="B699" s="521" t="s">
        <v>1107</v>
      </c>
      <c r="C699" s="520" t="s">
        <v>213</v>
      </c>
      <c r="D699" s="472">
        <v>0.34699999999999998</v>
      </c>
      <c r="E699" s="522">
        <v>0.32300000000000001</v>
      </c>
      <c r="F699" s="523" t="s">
        <v>4166</v>
      </c>
      <c r="G699" s="524" t="s">
        <v>3663</v>
      </c>
      <c r="H699" s="525" t="s">
        <v>3666</v>
      </c>
      <c r="I699" s="474"/>
      <c r="J699" s="475" t="s">
        <v>4877</v>
      </c>
    </row>
    <row r="700" spans="1:10" ht="14.25" customHeight="1">
      <c r="A700" s="559" t="s">
        <v>3279</v>
      </c>
      <c r="B700" s="560" t="s">
        <v>3280</v>
      </c>
      <c r="C700" s="559" t="s">
        <v>213</v>
      </c>
      <c r="D700" s="472">
        <v>5.3289999999999997</v>
      </c>
      <c r="E700" s="522">
        <v>4.9690000000000003</v>
      </c>
      <c r="F700" s="523" t="s">
        <v>4166</v>
      </c>
      <c r="G700" s="524" t="s">
        <v>3663</v>
      </c>
      <c r="H700" s="525" t="s">
        <v>3666</v>
      </c>
      <c r="I700" s="474"/>
      <c r="J700" s="475" t="s">
        <v>4878</v>
      </c>
    </row>
    <row r="701" spans="1:10" ht="14.25" customHeight="1">
      <c r="A701" s="520" t="s">
        <v>1108</v>
      </c>
      <c r="B701" s="521" t="s">
        <v>1109</v>
      </c>
      <c r="C701" s="520" t="s">
        <v>213</v>
      </c>
      <c r="D701" s="472">
        <v>2.5659999999999998</v>
      </c>
      <c r="E701" s="522">
        <v>2.3919999999999999</v>
      </c>
      <c r="F701" s="523" t="s">
        <v>4166</v>
      </c>
      <c r="G701" s="526" t="s">
        <v>3668</v>
      </c>
      <c r="H701" s="525" t="s">
        <v>3669</v>
      </c>
      <c r="I701" s="474">
        <v>4016.93</v>
      </c>
      <c r="J701" s="475" t="s">
        <v>4879</v>
      </c>
    </row>
    <row r="702" spans="1:10" ht="14.25" customHeight="1">
      <c r="A702" s="520" t="s">
        <v>1110</v>
      </c>
      <c r="B702" s="521" t="s">
        <v>1111</v>
      </c>
      <c r="C702" s="520" t="s">
        <v>213</v>
      </c>
      <c r="D702" s="472">
        <v>3.0739999999999998</v>
      </c>
      <c r="E702" s="522">
        <v>2.8690000000000002</v>
      </c>
      <c r="F702" s="523" t="s">
        <v>4166</v>
      </c>
      <c r="G702" s="524" t="s">
        <v>3663</v>
      </c>
      <c r="H702" s="525" t="s">
        <v>3666</v>
      </c>
      <c r="I702" s="474"/>
      <c r="J702" s="475" t="s">
        <v>4880</v>
      </c>
    </row>
    <row r="703" spans="1:10" ht="14.25" customHeight="1">
      <c r="A703" s="520" t="s">
        <v>1112</v>
      </c>
      <c r="B703" s="521" t="s">
        <v>1113</v>
      </c>
      <c r="C703" s="520" t="s">
        <v>213</v>
      </c>
      <c r="D703" s="472">
        <v>2.84</v>
      </c>
      <c r="E703" s="522">
        <v>2.6560000000000001</v>
      </c>
      <c r="F703" s="523" t="s">
        <v>4166</v>
      </c>
      <c r="G703" s="524" t="s">
        <v>3663</v>
      </c>
      <c r="H703" s="525" t="s">
        <v>3666</v>
      </c>
      <c r="I703" s="474"/>
      <c r="J703" s="475" t="s">
        <v>4881</v>
      </c>
    </row>
    <row r="704" spans="1:10" ht="14.25" customHeight="1">
      <c r="A704" s="520" t="s">
        <v>1114</v>
      </c>
      <c r="B704" s="521" t="s">
        <v>1115</v>
      </c>
      <c r="C704" s="520" t="s">
        <v>213</v>
      </c>
      <c r="D704" s="472">
        <v>3.0739999999999998</v>
      </c>
      <c r="E704" s="522">
        <v>2.8690000000000002</v>
      </c>
      <c r="F704" s="523">
        <v>9.1999999999999993</v>
      </c>
      <c r="G704" s="524" t="s">
        <v>3663</v>
      </c>
      <c r="H704" s="525" t="s">
        <v>3666</v>
      </c>
      <c r="I704" s="474"/>
      <c r="J704" s="475" t="s">
        <v>4882</v>
      </c>
    </row>
    <row r="705" spans="1:10" ht="14.25" customHeight="1">
      <c r="A705" s="520" t="s">
        <v>1116</v>
      </c>
      <c r="B705" s="521" t="s">
        <v>1117</v>
      </c>
      <c r="C705" s="520" t="s">
        <v>213</v>
      </c>
      <c r="D705" s="472">
        <v>2.84</v>
      </c>
      <c r="E705" s="522">
        <v>2.6560000000000001</v>
      </c>
      <c r="F705" s="523" t="s">
        <v>4166</v>
      </c>
      <c r="G705" s="524" t="s">
        <v>3663</v>
      </c>
      <c r="H705" s="525" t="s">
        <v>3666</v>
      </c>
      <c r="I705" s="474"/>
      <c r="J705" s="475" t="s">
        <v>4883</v>
      </c>
    </row>
    <row r="706" spans="1:10" ht="14.25" customHeight="1">
      <c r="A706" s="520" t="s">
        <v>1118</v>
      </c>
      <c r="B706" s="521" t="s">
        <v>1119</v>
      </c>
      <c r="C706" s="520" t="s">
        <v>213</v>
      </c>
      <c r="D706" s="472">
        <v>3.077</v>
      </c>
      <c r="E706" s="522">
        <v>2.871</v>
      </c>
      <c r="F706" s="523">
        <v>7.8</v>
      </c>
      <c r="G706" s="524" t="s">
        <v>3663</v>
      </c>
      <c r="H706" s="525" t="s">
        <v>3666</v>
      </c>
      <c r="I706" s="474"/>
      <c r="J706" s="475" t="s">
        <v>4884</v>
      </c>
    </row>
    <row r="707" spans="1:10" ht="14.25" customHeight="1">
      <c r="A707" s="520" t="s">
        <v>3281</v>
      </c>
      <c r="B707" s="521" t="s">
        <v>3282</v>
      </c>
      <c r="C707" s="520" t="s">
        <v>213</v>
      </c>
      <c r="D707" s="472">
        <v>1.421</v>
      </c>
      <c r="E707" s="522">
        <v>1.3240000000000001</v>
      </c>
      <c r="F707" s="523" t="s">
        <v>4166</v>
      </c>
      <c r="G707" s="524" t="s">
        <v>3663</v>
      </c>
      <c r="H707" s="525" t="s">
        <v>3666</v>
      </c>
      <c r="I707" s="474"/>
      <c r="J707" s="475" t="s">
        <v>4885</v>
      </c>
    </row>
    <row r="708" spans="1:10" ht="14.25" customHeight="1">
      <c r="A708" s="520" t="s">
        <v>3283</v>
      </c>
      <c r="B708" s="521" t="s">
        <v>3284</v>
      </c>
      <c r="C708" s="520" t="s">
        <v>213</v>
      </c>
      <c r="D708" s="472">
        <v>1.36</v>
      </c>
      <c r="E708" s="522">
        <v>1.266</v>
      </c>
      <c r="F708" s="523" t="s">
        <v>4166</v>
      </c>
      <c r="G708" s="524" t="s">
        <v>3663</v>
      </c>
      <c r="H708" s="525" t="s">
        <v>3666</v>
      </c>
      <c r="I708" s="474"/>
      <c r="J708" s="475" t="s">
        <v>4886</v>
      </c>
    </row>
    <row r="709" spans="1:10" ht="14.25" customHeight="1">
      <c r="A709" s="520" t="s">
        <v>3892</v>
      </c>
      <c r="B709" s="521" t="s">
        <v>3893</v>
      </c>
      <c r="C709" s="520" t="s">
        <v>213</v>
      </c>
      <c r="D709" s="472">
        <v>2.7719999999999998</v>
      </c>
      <c r="E709" s="522">
        <v>2.5859999999999999</v>
      </c>
      <c r="F709" s="523" t="s">
        <v>4166</v>
      </c>
      <c r="G709" s="524" t="s">
        <v>3663</v>
      </c>
      <c r="H709" s="525" t="s">
        <v>3666</v>
      </c>
      <c r="I709" s="474"/>
      <c r="J709" s="475" t="s">
        <v>4887</v>
      </c>
    </row>
    <row r="710" spans="1:10" ht="14.25" customHeight="1">
      <c r="A710" s="520" t="s">
        <v>1120</v>
      </c>
      <c r="B710" s="521" t="s">
        <v>1121</v>
      </c>
      <c r="C710" s="520" t="s">
        <v>213</v>
      </c>
      <c r="D710" s="472">
        <v>5.3390000000000004</v>
      </c>
      <c r="E710" s="522">
        <v>4.9779999999999998</v>
      </c>
      <c r="F710" s="523" t="s">
        <v>4166</v>
      </c>
      <c r="G710" s="524" t="s">
        <v>3663</v>
      </c>
      <c r="H710" s="525" t="s">
        <v>3666</v>
      </c>
      <c r="I710" s="474"/>
      <c r="J710" s="475" t="s">
        <v>4888</v>
      </c>
    </row>
    <row r="711" spans="1:10" ht="14.25" customHeight="1">
      <c r="A711" s="562" t="s">
        <v>1122</v>
      </c>
      <c r="B711" s="563" t="s">
        <v>1123</v>
      </c>
      <c r="C711" s="520" t="s">
        <v>213</v>
      </c>
      <c r="D711" s="472">
        <v>1.913</v>
      </c>
      <c r="E711" s="522">
        <v>1.9570000000000001</v>
      </c>
      <c r="F711" s="523" t="s">
        <v>4166</v>
      </c>
      <c r="G711" s="524" t="s">
        <v>3663</v>
      </c>
      <c r="H711" s="525" t="s">
        <v>3666</v>
      </c>
      <c r="I711" s="474"/>
      <c r="J711" s="475" t="s">
        <v>4889</v>
      </c>
    </row>
    <row r="712" spans="1:10" ht="14.25" customHeight="1">
      <c r="A712" s="562" t="s">
        <v>3285</v>
      </c>
      <c r="B712" s="563" t="s">
        <v>3286</v>
      </c>
      <c r="C712" s="520" t="s">
        <v>213</v>
      </c>
      <c r="D712" s="472">
        <v>6.7549999999999999</v>
      </c>
      <c r="E712" s="522">
        <v>6.2140000000000004</v>
      </c>
      <c r="F712" s="523" t="s">
        <v>4166</v>
      </c>
      <c r="G712" s="524" t="s">
        <v>3663</v>
      </c>
      <c r="H712" s="525" t="s">
        <v>3666</v>
      </c>
      <c r="I712" s="474"/>
      <c r="J712" s="475" t="s">
        <v>4890</v>
      </c>
    </row>
    <row r="713" spans="1:10" ht="14.25" customHeight="1">
      <c r="A713" s="562" t="s">
        <v>3287</v>
      </c>
      <c r="B713" s="563" t="s">
        <v>3288</v>
      </c>
      <c r="C713" s="520" t="s">
        <v>213</v>
      </c>
      <c r="D713" s="472">
        <v>5.8860000000000001</v>
      </c>
      <c r="E713" s="522">
        <v>5.5540000000000003</v>
      </c>
      <c r="F713" s="523" t="s">
        <v>4166</v>
      </c>
      <c r="G713" s="524" t="s">
        <v>3663</v>
      </c>
      <c r="H713" s="525" t="s">
        <v>3666</v>
      </c>
      <c r="I713" s="474"/>
      <c r="J713" s="475" t="s">
        <v>4891</v>
      </c>
    </row>
    <row r="714" spans="1:10" ht="14.25" customHeight="1">
      <c r="A714" s="562" t="s">
        <v>3289</v>
      </c>
      <c r="B714" s="563" t="s">
        <v>3290</v>
      </c>
      <c r="C714" s="520" t="s">
        <v>213</v>
      </c>
      <c r="D714" s="472">
        <v>1.36</v>
      </c>
      <c r="E714" s="522">
        <v>1.266</v>
      </c>
      <c r="F714" s="523" t="s">
        <v>4166</v>
      </c>
      <c r="G714" s="524" t="s">
        <v>3663</v>
      </c>
      <c r="H714" s="525" t="s">
        <v>3666</v>
      </c>
      <c r="I714" s="474"/>
      <c r="J714" s="475" t="s">
        <v>4892</v>
      </c>
    </row>
    <row r="715" spans="1:10" ht="14.25" customHeight="1">
      <c r="A715" s="564" t="s">
        <v>3894</v>
      </c>
      <c r="B715" s="565" t="s">
        <v>3895</v>
      </c>
      <c r="C715" s="520" t="s">
        <v>213</v>
      </c>
      <c r="D715" s="472">
        <v>6.45</v>
      </c>
      <c r="E715" s="522">
        <v>5.9290000000000003</v>
      </c>
      <c r="F715" s="523" t="s">
        <v>4166</v>
      </c>
      <c r="G715" s="524" t="s">
        <v>3663</v>
      </c>
      <c r="H715" s="525" t="s">
        <v>3666</v>
      </c>
      <c r="I715" s="474"/>
      <c r="J715" s="475" t="s">
        <v>4893</v>
      </c>
    </row>
    <row r="716" spans="1:10" ht="14.25" customHeight="1">
      <c r="A716" s="562" t="s">
        <v>3291</v>
      </c>
      <c r="B716" s="563" t="s">
        <v>3292</v>
      </c>
      <c r="C716" s="520" t="s">
        <v>213</v>
      </c>
      <c r="D716" s="472">
        <v>9.0519999999999996</v>
      </c>
      <c r="E716" s="522">
        <v>8.4019999999999992</v>
      </c>
      <c r="F716" s="523" t="s">
        <v>4166</v>
      </c>
      <c r="G716" s="524" t="s">
        <v>3663</v>
      </c>
      <c r="H716" s="525" t="s">
        <v>3666</v>
      </c>
      <c r="I716" s="474"/>
      <c r="J716" s="475" t="s">
        <v>4894</v>
      </c>
    </row>
    <row r="717" spans="1:10" ht="14.25" customHeight="1">
      <c r="A717" s="562" t="s">
        <v>3896</v>
      </c>
      <c r="B717" s="565" t="s">
        <v>3897</v>
      </c>
      <c r="C717" s="520" t="s">
        <v>213</v>
      </c>
      <c r="D717" s="472">
        <v>3.077</v>
      </c>
      <c r="E717" s="522">
        <v>2.871</v>
      </c>
      <c r="F717" s="523" t="s">
        <v>4166</v>
      </c>
      <c r="G717" s="524" t="s">
        <v>3663</v>
      </c>
      <c r="H717" s="525" t="s">
        <v>3666</v>
      </c>
      <c r="I717" s="474"/>
      <c r="J717" s="475" t="s">
        <v>4895</v>
      </c>
    </row>
    <row r="718" spans="1:10" ht="14.25" customHeight="1">
      <c r="A718" s="562" t="s">
        <v>3898</v>
      </c>
      <c r="B718" s="565" t="s">
        <v>3899</v>
      </c>
      <c r="C718" s="520" t="s">
        <v>213</v>
      </c>
      <c r="D718" s="472">
        <v>2.7719999999999998</v>
      </c>
      <c r="E718" s="522">
        <v>2.5859999999999999</v>
      </c>
      <c r="F718" s="523" t="s">
        <v>4166</v>
      </c>
      <c r="G718" s="524" t="s">
        <v>3663</v>
      </c>
      <c r="H718" s="525" t="s">
        <v>3666</v>
      </c>
      <c r="I718" s="474"/>
      <c r="J718" s="475" t="s">
        <v>4896</v>
      </c>
    </row>
    <row r="719" spans="1:10" ht="14.25" customHeight="1">
      <c r="A719" s="520" t="s">
        <v>3293</v>
      </c>
      <c r="B719" s="521" t="s">
        <v>3294</v>
      </c>
      <c r="C719" s="520" t="s">
        <v>213</v>
      </c>
      <c r="D719" s="472">
        <v>3.07</v>
      </c>
      <c r="E719" s="522">
        <v>2.8690000000000002</v>
      </c>
      <c r="F719" s="523" t="s">
        <v>4166</v>
      </c>
      <c r="G719" s="524" t="s">
        <v>3663</v>
      </c>
      <c r="H719" s="525" t="s">
        <v>3666</v>
      </c>
      <c r="I719" s="474"/>
      <c r="J719" s="475" t="s">
        <v>4897</v>
      </c>
    </row>
    <row r="720" spans="1:10" ht="14.25" customHeight="1">
      <c r="A720" s="520" t="s">
        <v>3295</v>
      </c>
      <c r="B720" s="521" t="s">
        <v>3296</v>
      </c>
      <c r="C720" s="520" t="s">
        <v>213</v>
      </c>
      <c r="D720" s="472">
        <v>2.8439999999999999</v>
      </c>
      <c r="E720" s="522">
        <v>2.6509999999999998</v>
      </c>
      <c r="F720" s="523" t="s">
        <v>4166</v>
      </c>
      <c r="G720" s="524" t="s">
        <v>3663</v>
      </c>
      <c r="H720" s="525" t="s">
        <v>3666</v>
      </c>
      <c r="I720" s="474"/>
      <c r="J720" s="475" t="s">
        <v>4898</v>
      </c>
    </row>
    <row r="721" spans="1:22" ht="14.25" customHeight="1">
      <c r="A721" s="520" t="s">
        <v>1124</v>
      </c>
      <c r="B721" s="521" t="s">
        <v>1125</v>
      </c>
      <c r="C721" s="520" t="s">
        <v>213</v>
      </c>
      <c r="D721" s="472">
        <v>0.30099999999999999</v>
      </c>
      <c r="E721" s="522">
        <v>0.28100000000000003</v>
      </c>
      <c r="F721" s="523" t="s">
        <v>4166</v>
      </c>
      <c r="G721" s="526" t="s">
        <v>3668</v>
      </c>
      <c r="H721" s="525" t="s">
        <v>3669</v>
      </c>
      <c r="I721" s="474">
        <v>4016.93</v>
      </c>
      <c r="J721" s="475" t="s">
        <v>4899</v>
      </c>
    </row>
    <row r="722" spans="1:22" ht="14.25" customHeight="1">
      <c r="A722" s="520" t="s">
        <v>1126</v>
      </c>
      <c r="B722" s="521" t="s">
        <v>1127</v>
      </c>
      <c r="C722" s="520" t="s">
        <v>213</v>
      </c>
      <c r="D722" s="472">
        <v>0.30099999999999999</v>
      </c>
      <c r="E722" s="522">
        <v>0.28100000000000003</v>
      </c>
      <c r="F722" s="523" t="s">
        <v>4166</v>
      </c>
      <c r="G722" s="526" t="s">
        <v>3668</v>
      </c>
      <c r="H722" s="525" t="s">
        <v>3669</v>
      </c>
      <c r="I722" s="474">
        <v>4016.93</v>
      </c>
      <c r="J722" s="475" t="s">
        <v>4900</v>
      </c>
    </row>
    <row r="723" spans="1:22" ht="14.25" customHeight="1">
      <c r="A723" s="520" t="s">
        <v>3297</v>
      </c>
      <c r="B723" s="521" t="s">
        <v>3298</v>
      </c>
      <c r="C723" s="520" t="s">
        <v>213</v>
      </c>
      <c r="D723" s="472">
        <v>3.07</v>
      </c>
      <c r="E723" s="522">
        <v>2.8690000000000002</v>
      </c>
      <c r="F723" s="523" t="s">
        <v>4166</v>
      </c>
      <c r="G723" s="524" t="s">
        <v>3663</v>
      </c>
      <c r="H723" s="525" t="s">
        <v>3666</v>
      </c>
      <c r="I723" s="474"/>
      <c r="J723" s="475" t="s">
        <v>4901</v>
      </c>
    </row>
    <row r="724" spans="1:22" ht="14.25" customHeight="1">
      <c r="A724" s="520" t="s">
        <v>3299</v>
      </c>
      <c r="B724" s="521" t="s">
        <v>3300</v>
      </c>
      <c r="C724" s="520" t="s">
        <v>213</v>
      </c>
      <c r="D724" s="472">
        <v>2.8439999999999999</v>
      </c>
      <c r="E724" s="522">
        <v>2.6509999999999998</v>
      </c>
      <c r="F724" s="523" t="s">
        <v>4166</v>
      </c>
      <c r="G724" s="524" t="s">
        <v>3663</v>
      </c>
      <c r="H724" s="525" t="s">
        <v>3666</v>
      </c>
      <c r="I724" s="474"/>
      <c r="J724" s="475" t="s">
        <v>4902</v>
      </c>
    </row>
    <row r="725" spans="1:22" ht="15.75" customHeight="1">
      <c r="A725" s="543" t="s">
        <v>3900</v>
      </c>
      <c r="B725" s="547" t="s">
        <v>3901</v>
      </c>
      <c r="C725" s="558" t="s">
        <v>4158</v>
      </c>
      <c r="D725" s="538">
        <v>5.9980000000000002</v>
      </c>
      <c r="E725" s="522">
        <v>4.5819999999999999</v>
      </c>
      <c r="F725" s="523" t="s">
        <v>4166</v>
      </c>
      <c r="G725" s="524" t="s">
        <v>3663</v>
      </c>
      <c r="H725" s="525" t="s">
        <v>3666</v>
      </c>
      <c r="I725" s="474"/>
      <c r="J725" s="475" t="s">
        <v>4903</v>
      </c>
      <c r="K725" s="471"/>
      <c r="L725" s="471"/>
      <c r="M725" s="471"/>
      <c r="N725" s="471"/>
      <c r="O725" s="471"/>
      <c r="P725" s="471"/>
      <c r="Q725" s="471"/>
      <c r="R725" s="471"/>
      <c r="S725" s="471"/>
      <c r="T725" s="471"/>
      <c r="U725" s="471"/>
      <c r="V725" s="471"/>
    </row>
    <row r="726" spans="1:22" ht="15.75" customHeight="1">
      <c r="A726" s="543" t="s">
        <v>3902</v>
      </c>
      <c r="B726" s="547" t="s">
        <v>3903</v>
      </c>
      <c r="C726" s="558" t="s">
        <v>4158</v>
      </c>
      <c r="D726" s="538">
        <v>5.681</v>
      </c>
      <c r="E726" s="522">
        <v>4.2990000000000004</v>
      </c>
      <c r="F726" s="523" t="s">
        <v>4166</v>
      </c>
      <c r="G726" s="524" t="s">
        <v>3663</v>
      </c>
      <c r="H726" s="525" t="s">
        <v>3666</v>
      </c>
      <c r="I726" s="474"/>
      <c r="J726" s="475" t="s">
        <v>4904</v>
      </c>
      <c r="K726" s="471"/>
      <c r="L726" s="471"/>
      <c r="M726" s="471"/>
      <c r="N726" s="471"/>
      <c r="O726" s="471"/>
      <c r="P726" s="471"/>
      <c r="Q726" s="471"/>
      <c r="R726" s="471"/>
      <c r="S726" s="471"/>
      <c r="T726" s="471"/>
      <c r="U726" s="471"/>
      <c r="V726" s="471"/>
    </row>
    <row r="727" spans="1:22" ht="15.75" customHeight="1">
      <c r="A727" s="543" t="s">
        <v>3904</v>
      </c>
      <c r="B727" s="547" t="s">
        <v>3905</v>
      </c>
      <c r="C727" s="558" t="s">
        <v>4158</v>
      </c>
      <c r="D727" s="538">
        <v>8.1750000000000007</v>
      </c>
      <c r="E727" s="522">
        <v>6.2290000000000001</v>
      </c>
      <c r="F727" s="523" t="s">
        <v>4166</v>
      </c>
      <c r="G727" s="524" t="s">
        <v>3663</v>
      </c>
      <c r="H727" s="525" t="s">
        <v>3666</v>
      </c>
      <c r="I727" s="474"/>
      <c r="J727" s="475" t="s">
        <v>4905</v>
      </c>
      <c r="K727" s="471"/>
      <c r="L727" s="471"/>
      <c r="M727" s="471"/>
      <c r="N727" s="471"/>
      <c r="O727" s="471"/>
      <c r="P727" s="471"/>
      <c r="Q727" s="471"/>
      <c r="R727" s="471"/>
      <c r="S727" s="471"/>
      <c r="T727" s="471"/>
      <c r="U727" s="471"/>
      <c r="V727" s="471"/>
    </row>
    <row r="728" spans="1:22" ht="15.75" customHeight="1">
      <c r="A728" s="543" t="s">
        <v>3906</v>
      </c>
      <c r="B728" s="547" t="s">
        <v>3907</v>
      </c>
      <c r="C728" s="558" t="s">
        <v>4158</v>
      </c>
      <c r="D728" s="538">
        <v>7.8579999999999997</v>
      </c>
      <c r="E728" s="522">
        <v>5.9459999999999997</v>
      </c>
      <c r="F728" s="523" t="s">
        <v>4166</v>
      </c>
      <c r="G728" s="524" t="s">
        <v>3663</v>
      </c>
      <c r="H728" s="525" t="s">
        <v>3666</v>
      </c>
      <c r="I728" s="474"/>
      <c r="J728" s="475" t="s">
        <v>4906</v>
      </c>
      <c r="K728" s="471"/>
      <c r="L728" s="471"/>
      <c r="M728" s="471"/>
      <c r="N728" s="471"/>
      <c r="O728" s="471"/>
      <c r="P728" s="471"/>
      <c r="Q728" s="471"/>
      <c r="R728" s="471"/>
      <c r="S728" s="471"/>
      <c r="T728" s="471"/>
      <c r="U728" s="471"/>
      <c r="V728" s="471"/>
    </row>
    <row r="729" spans="1:22" ht="14.25" customHeight="1">
      <c r="A729" s="566" t="s">
        <v>4907</v>
      </c>
      <c r="B729" s="567" t="s">
        <v>4908</v>
      </c>
      <c r="C729" s="520" t="s">
        <v>213</v>
      </c>
      <c r="D729" s="538">
        <v>6.165</v>
      </c>
      <c r="E729" s="522">
        <v>5.76</v>
      </c>
      <c r="F729" s="523" t="s">
        <v>4166</v>
      </c>
      <c r="G729" s="524" t="s">
        <v>3663</v>
      </c>
      <c r="H729" s="525" t="s">
        <v>3666</v>
      </c>
      <c r="I729" s="474"/>
      <c r="J729" s="475" t="s">
        <v>4895</v>
      </c>
    </row>
    <row r="730" spans="1:22" ht="14.25" customHeight="1">
      <c r="A730" s="566" t="s">
        <v>4909</v>
      </c>
      <c r="B730" s="567" t="s">
        <v>4910</v>
      </c>
      <c r="C730" s="520" t="s">
        <v>213</v>
      </c>
      <c r="D730" s="538">
        <v>5.8860000000000001</v>
      </c>
      <c r="E730" s="522">
        <v>5.5540000000000003</v>
      </c>
      <c r="F730" s="523" t="s">
        <v>4166</v>
      </c>
      <c r="G730" s="524" t="s">
        <v>3663</v>
      </c>
      <c r="H730" s="525" t="s">
        <v>3666</v>
      </c>
      <c r="I730" s="474"/>
      <c r="J730" s="475" t="s">
        <v>4896</v>
      </c>
    </row>
    <row r="731" spans="1:22" ht="14.25" customHeight="1">
      <c r="A731" s="559" t="s">
        <v>3301</v>
      </c>
      <c r="B731" s="560" t="s">
        <v>3302</v>
      </c>
      <c r="C731" s="559" t="s">
        <v>213</v>
      </c>
      <c r="D731" s="472">
        <v>9.3140000000000001</v>
      </c>
      <c r="E731" s="522">
        <v>8.4090000000000007</v>
      </c>
      <c r="F731" s="523" t="s">
        <v>4166</v>
      </c>
      <c r="G731" s="524" t="s">
        <v>3663</v>
      </c>
      <c r="H731" s="525" t="s">
        <v>3666</v>
      </c>
      <c r="I731" s="474"/>
      <c r="J731" s="475" t="s">
        <v>4911</v>
      </c>
    </row>
    <row r="732" spans="1:22" ht="14.25" customHeight="1">
      <c r="A732" s="559" t="s">
        <v>3303</v>
      </c>
      <c r="B732" s="560" t="s">
        <v>3304</v>
      </c>
      <c r="C732" s="559" t="s">
        <v>213</v>
      </c>
      <c r="D732" s="472">
        <v>8.0719999999999992</v>
      </c>
      <c r="E732" s="522">
        <v>7.2450000000000001</v>
      </c>
      <c r="F732" s="523" t="s">
        <v>4166</v>
      </c>
      <c r="G732" s="524" t="s">
        <v>3663</v>
      </c>
      <c r="H732" s="525" t="s">
        <v>3666</v>
      </c>
      <c r="I732" s="474"/>
      <c r="J732" s="475" t="s">
        <v>4912</v>
      </c>
    </row>
    <row r="733" spans="1:22" ht="14.25" customHeight="1">
      <c r="A733" s="559" t="s">
        <v>3305</v>
      </c>
      <c r="B733" s="560" t="s">
        <v>3306</v>
      </c>
      <c r="C733" s="559" t="s">
        <v>213</v>
      </c>
      <c r="D733" s="472">
        <v>20.222999999999999</v>
      </c>
      <c r="E733" s="522">
        <v>18.577000000000002</v>
      </c>
      <c r="F733" s="523" t="s">
        <v>4166</v>
      </c>
      <c r="G733" s="524" t="s">
        <v>3663</v>
      </c>
      <c r="H733" s="525" t="s">
        <v>3666</v>
      </c>
      <c r="I733" s="474"/>
      <c r="J733" s="475" t="s">
        <v>4913</v>
      </c>
    </row>
    <row r="734" spans="1:22" ht="14.25" customHeight="1">
      <c r="A734" s="559" t="s">
        <v>3307</v>
      </c>
      <c r="B734" s="560" t="s">
        <v>3308</v>
      </c>
      <c r="C734" s="559" t="s">
        <v>213</v>
      </c>
      <c r="D734" s="472">
        <v>10.516999999999999</v>
      </c>
      <c r="E734" s="522">
        <v>9.5220000000000002</v>
      </c>
      <c r="F734" s="523" t="s">
        <v>4166</v>
      </c>
      <c r="G734" s="524" t="s">
        <v>3663</v>
      </c>
      <c r="H734" s="525" t="s">
        <v>3666</v>
      </c>
      <c r="I734" s="474"/>
      <c r="J734" s="475" t="s">
        <v>4914</v>
      </c>
    </row>
    <row r="735" spans="1:22" ht="14.25" customHeight="1">
      <c r="A735" s="559" t="s">
        <v>3309</v>
      </c>
      <c r="B735" s="560" t="s">
        <v>3310</v>
      </c>
      <c r="C735" s="559" t="s">
        <v>213</v>
      </c>
      <c r="D735" s="472">
        <v>24.326000000000001</v>
      </c>
      <c r="E735" s="522">
        <v>22.408999999999999</v>
      </c>
      <c r="F735" s="523" t="s">
        <v>4166</v>
      </c>
      <c r="G735" s="524" t="s">
        <v>3663</v>
      </c>
      <c r="H735" s="525" t="s">
        <v>3666</v>
      </c>
      <c r="I735" s="474"/>
      <c r="J735" s="475" t="s">
        <v>4915</v>
      </c>
    </row>
    <row r="736" spans="1:22" ht="14.25" customHeight="1">
      <c r="A736" s="559" t="s">
        <v>3311</v>
      </c>
      <c r="B736" s="560" t="s">
        <v>3312</v>
      </c>
      <c r="C736" s="559" t="s">
        <v>213</v>
      </c>
      <c r="D736" s="472">
        <v>10.513</v>
      </c>
      <c r="E736" s="522">
        <v>9.5220000000000002</v>
      </c>
      <c r="F736" s="523" t="s">
        <v>4166</v>
      </c>
      <c r="G736" s="524" t="s">
        <v>3663</v>
      </c>
      <c r="H736" s="525" t="s">
        <v>3666</v>
      </c>
      <c r="I736" s="474"/>
      <c r="J736" s="475" t="s">
        <v>4916</v>
      </c>
    </row>
    <row r="737" spans="1:10" ht="14.25" customHeight="1">
      <c r="A737" s="520" t="s">
        <v>1128</v>
      </c>
      <c r="B737" s="521" t="s">
        <v>1129</v>
      </c>
      <c r="C737" s="520" t="s">
        <v>213</v>
      </c>
      <c r="D737" s="472">
        <v>9.0009999999999994</v>
      </c>
      <c r="E737" s="522">
        <v>8.3889999999999993</v>
      </c>
      <c r="F737" s="523" t="s">
        <v>4166</v>
      </c>
      <c r="G737" s="524" t="s">
        <v>3663</v>
      </c>
      <c r="H737" s="525" t="s">
        <v>3666</v>
      </c>
      <c r="I737" s="474"/>
      <c r="J737" s="475" t="s">
        <v>4917</v>
      </c>
    </row>
    <row r="738" spans="1:10" ht="14.25" customHeight="1">
      <c r="A738" s="520" t="s">
        <v>1130</v>
      </c>
      <c r="B738" s="521" t="s">
        <v>1131</v>
      </c>
      <c r="C738" s="520" t="s">
        <v>213</v>
      </c>
      <c r="D738" s="472">
        <v>2.8420000000000001</v>
      </c>
      <c r="E738" s="522">
        <v>2.65</v>
      </c>
      <c r="F738" s="523" t="s">
        <v>4166</v>
      </c>
      <c r="G738" s="524" t="s">
        <v>3663</v>
      </c>
      <c r="H738" s="525" t="s">
        <v>3666</v>
      </c>
      <c r="I738" s="474"/>
      <c r="J738" s="475" t="s">
        <v>4918</v>
      </c>
    </row>
    <row r="739" spans="1:10" ht="14.25" customHeight="1">
      <c r="A739" s="520" t="s">
        <v>1132</v>
      </c>
      <c r="B739" s="521" t="s">
        <v>1133</v>
      </c>
      <c r="C739" s="520" t="s">
        <v>213</v>
      </c>
      <c r="D739" s="472">
        <v>3.109</v>
      </c>
      <c r="E739" s="522">
        <v>2.9</v>
      </c>
      <c r="F739" s="523" t="s">
        <v>4166</v>
      </c>
      <c r="G739" s="524" t="s">
        <v>3663</v>
      </c>
      <c r="H739" s="525" t="s">
        <v>3666</v>
      </c>
      <c r="I739" s="474"/>
      <c r="J739" s="475" t="s">
        <v>4919</v>
      </c>
    </row>
    <row r="740" spans="1:10" ht="14.25" customHeight="1">
      <c r="A740" s="520" t="s">
        <v>1134</v>
      </c>
      <c r="B740" s="521" t="s">
        <v>1135</v>
      </c>
      <c r="C740" s="520" t="s">
        <v>213</v>
      </c>
      <c r="D740" s="472">
        <v>3.3130000000000002</v>
      </c>
      <c r="E740" s="522">
        <v>3.089</v>
      </c>
      <c r="F740" s="523" t="s">
        <v>4166</v>
      </c>
      <c r="G740" s="524" t="s">
        <v>3663</v>
      </c>
      <c r="H740" s="525" t="s">
        <v>3666</v>
      </c>
      <c r="I740" s="474"/>
      <c r="J740" s="475" t="s">
        <v>4920</v>
      </c>
    </row>
    <row r="741" spans="1:10" ht="14.25" customHeight="1">
      <c r="A741" s="520" t="s">
        <v>1136</v>
      </c>
      <c r="B741" s="521" t="s">
        <v>3908</v>
      </c>
      <c r="C741" s="520" t="s">
        <v>213</v>
      </c>
      <c r="D741" s="472">
        <v>0.30599999999999999</v>
      </c>
      <c r="E741" s="522">
        <v>0.28599999999999998</v>
      </c>
      <c r="F741" s="523" t="s">
        <v>4166</v>
      </c>
      <c r="G741" s="526" t="s">
        <v>3668</v>
      </c>
      <c r="H741" s="525" t="s">
        <v>3669</v>
      </c>
      <c r="I741" s="474">
        <v>4016.93</v>
      </c>
      <c r="J741" s="475" t="s">
        <v>4921</v>
      </c>
    </row>
    <row r="742" spans="1:10" ht="14.25" customHeight="1">
      <c r="A742" s="520" t="s">
        <v>1137</v>
      </c>
      <c r="B742" s="521" t="s">
        <v>1138</v>
      </c>
      <c r="C742" s="520" t="s">
        <v>213</v>
      </c>
      <c r="D742" s="472">
        <v>2.274</v>
      </c>
      <c r="E742" s="522">
        <v>1.9790000000000001</v>
      </c>
      <c r="F742" s="523" t="s">
        <v>4166</v>
      </c>
      <c r="G742" s="526" t="s">
        <v>3668</v>
      </c>
      <c r="H742" s="525" t="s">
        <v>3669</v>
      </c>
      <c r="I742" s="474">
        <v>4016.93</v>
      </c>
      <c r="J742" s="475" t="s">
        <v>4922</v>
      </c>
    </row>
    <row r="743" spans="1:10" ht="14.25" customHeight="1">
      <c r="A743" s="520" t="s">
        <v>1139</v>
      </c>
      <c r="B743" s="521" t="s">
        <v>1140</v>
      </c>
      <c r="C743" s="520" t="s">
        <v>213</v>
      </c>
      <c r="D743" s="472">
        <v>8.8179999999999996</v>
      </c>
      <c r="E743" s="522">
        <v>8.1140000000000008</v>
      </c>
      <c r="F743" s="523" t="s">
        <v>4166</v>
      </c>
      <c r="G743" s="524" t="s">
        <v>3663</v>
      </c>
      <c r="H743" s="525" t="s">
        <v>3666</v>
      </c>
      <c r="I743" s="474"/>
      <c r="J743" s="475" t="s">
        <v>4923</v>
      </c>
    </row>
    <row r="744" spans="1:10" ht="14.25" customHeight="1">
      <c r="A744" s="520" t="s">
        <v>1141</v>
      </c>
      <c r="B744" s="521" t="s">
        <v>1142</v>
      </c>
      <c r="C744" s="520" t="s">
        <v>213</v>
      </c>
      <c r="D744" s="472">
        <v>54.201999999999998</v>
      </c>
      <c r="E744" s="522">
        <v>49.426000000000002</v>
      </c>
      <c r="F744" s="523" t="s">
        <v>4166</v>
      </c>
      <c r="G744" s="524" t="s">
        <v>3663</v>
      </c>
      <c r="H744" s="525" t="s">
        <v>3666</v>
      </c>
      <c r="I744" s="474"/>
      <c r="J744" s="475" t="s">
        <v>4924</v>
      </c>
    </row>
    <row r="745" spans="1:10" ht="14.25" customHeight="1">
      <c r="A745" s="520" t="s">
        <v>1143</v>
      </c>
      <c r="B745" s="521" t="s">
        <v>1144</v>
      </c>
      <c r="C745" s="520" t="s">
        <v>213</v>
      </c>
      <c r="D745" s="472">
        <v>10.744</v>
      </c>
      <c r="E745" s="522">
        <v>10.021000000000001</v>
      </c>
      <c r="F745" s="523" t="s">
        <v>4166</v>
      </c>
      <c r="G745" s="524" t="s">
        <v>3663</v>
      </c>
      <c r="H745" s="525" t="s">
        <v>3666</v>
      </c>
      <c r="I745" s="474"/>
      <c r="J745" s="475" t="s">
        <v>4925</v>
      </c>
    </row>
    <row r="746" spans="1:10" ht="14.25" customHeight="1">
      <c r="A746" s="520" t="s">
        <v>1145</v>
      </c>
      <c r="B746" s="521" t="s">
        <v>1146</v>
      </c>
      <c r="C746" s="520" t="s">
        <v>213</v>
      </c>
      <c r="D746" s="472">
        <v>2.9860000000000002</v>
      </c>
      <c r="E746" s="522">
        <v>2.7839999999999998</v>
      </c>
      <c r="F746" s="523" t="s">
        <v>4166</v>
      </c>
      <c r="G746" s="524" t="s">
        <v>3663</v>
      </c>
      <c r="H746" s="525" t="s">
        <v>3666</v>
      </c>
      <c r="I746" s="474"/>
      <c r="J746" s="475" t="s">
        <v>4926</v>
      </c>
    </row>
    <row r="747" spans="1:10" ht="14.25" customHeight="1">
      <c r="A747" s="520" t="s">
        <v>1147</v>
      </c>
      <c r="B747" s="521" t="s">
        <v>1148</v>
      </c>
      <c r="C747" s="520" t="s">
        <v>213</v>
      </c>
      <c r="D747" s="472">
        <v>9.6150000000000002</v>
      </c>
      <c r="E747" s="522">
        <v>8.9719999999999995</v>
      </c>
      <c r="F747" s="523" t="s">
        <v>4166</v>
      </c>
      <c r="G747" s="524" t="s">
        <v>3663</v>
      </c>
      <c r="H747" s="525" t="s">
        <v>3666</v>
      </c>
      <c r="I747" s="474"/>
      <c r="J747" s="475" t="s">
        <v>4927</v>
      </c>
    </row>
    <row r="748" spans="1:10" ht="14.25" customHeight="1">
      <c r="A748" s="520" t="s">
        <v>1149</v>
      </c>
      <c r="B748" s="521" t="s">
        <v>1150</v>
      </c>
      <c r="C748" s="520" t="s">
        <v>213</v>
      </c>
      <c r="D748" s="472">
        <v>3.7839999999999998</v>
      </c>
      <c r="E748" s="522">
        <v>3.528</v>
      </c>
      <c r="F748" s="523" t="s">
        <v>4166</v>
      </c>
      <c r="G748" s="524" t="s">
        <v>3663</v>
      </c>
      <c r="H748" s="525" t="s">
        <v>3666</v>
      </c>
      <c r="I748" s="474"/>
      <c r="J748" s="475" t="s">
        <v>4928</v>
      </c>
    </row>
    <row r="749" spans="1:10" ht="14.25" customHeight="1">
      <c r="A749" s="520" t="s">
        <v>1151</v>
      </c>
      <c r="B749" s="521" t="s">
        <v>1152</v>
      </c>
      <c r="C749" s="520" t="s">
        <v>213</v>
      </c>
      <c r="D749" s="472">
        <v>11.333</v>
      </c>
      <c r="E749" s="522">
        <v>10.564</v>
      </c>
      <c r="F749" s="523" t="s">
        <v>4166</v>
      </c>
      <c r="G749" s="524" t="s">
        <v>3663</v>
      </c>
      <c r="H749" s="525" t="s">
        <v>3666</v>
      </c>
      <c r="I749" s="474"/>
      <c r="J749" s="475" t="s">
        <v>4929</v>
      </c>
    </row>
    <row r="750" spans="1:10" ht="14.25" customHeight="1">
      <c r="A750" s="520" t="s">
        <v>1153</v>
      </c>
      <c r="B750" s="521" t="s">
        <v>1154</v>
      </c>
      <c r="C750" s="520" t="s">
        <v>213</v>
      </c>
      <c r="D750" s="472">
        <v>4.07</v>
      </c>
      <c r="E750" s="522">
        <v>3.7959999999999998</v>
      </c>
      <c r="F750" s="523" t="s">
        <v>4166</v>
      </c>
      <c r="G750" s="524" t="s">
        <v>3663</v>
      </c>
      <c r="H750" s="525" t="s">
        <v>3666</v>
      </c>
      <c r="I750" s="474"/>
      <c r="J750" s="475" t="s">
        <v>4930</v>
      </c>
    </row>
    <row r="751" spans="1:10" ht="14.25" customHeight="1">
      <c r="A751" s="520" t="s">
        <v>1155</v>
      </c>
      <c r="B751" s="521" t="s">
        <v>1156</v>
      </c>
      <c r="C751" s="520" t="s">
        <v>213</v>
      </c>
      <c r="D751" s="472">
        <v>10.085000000000001</v>
      </c>
      <c r="E751" s="522">
        <v>9.4109999999999996</v>
      </c>
      <c r="F751" s="523" t="s">
        <v>4166</v>
      </c>
      <c r="G751" s="524" t="s">
        <v>3663</v>
      </c>
      <c r="H751" s="525" t="s">
        <v>3666</v>
      </c>
      <c r="I751" s="474"/>
      <c r="J751" s="475" t="s">
        <v>4931</v>
      </c>
    </row>
    <row r="752" spans="1:10" ht="14.25" customHeight="1">
      <c r="A752" s="520" t="s">
        <v>1157</v>
      </c>
      <c r="B752" s="521" t="s">
        <v>1158</v>
      </c>
      <c r="C752" s="520" t="s">
        <v>213</v>
      </c>
      <c r="D752" s="472">
        <v>4.4800000000000004</v>
      </c>
      <c r="E752" s="522">
        <v>4.1760000000000002</v>
      </c>
      <c r="F752" s="523" t="s">
        <v>4166</v>
      </c>
      <c r="G752" s="524" t="s">
        <v>3663</v>
      </c>
      <c r="H752" s="525" t="s">
        <v>3666</v>
      </c>
      <c r="I752" s="474"/>
      <c r="J752" s="475" t="s">
        <v>4932</v>
      </c>
    </row>
    <row r="753" spans="1:10" ht="14.25" customHeight="1">
      <c r="A753" s="520" t="s">
        <v>1159</v>
      </c>
      <c r="B753" s="521" t="s">
        <v>1160</v>
      </c>
      <c r="C753" s="520" t="s">
        <v>213</v>
      </c>
      <c r="D753" s="472">
        <v>11.824</v>
      </c>
      <c r="E753" s="522">
        <v>11.021000000000001</v>
      </c>
      <c r="F753" s="523" t="s">
        <v>4166</v>
      </c>
      <c r="G753" s="524" t="s">
        <v>3663</v>
      </c>
      <c r="H753" s="525" t="s">
        <v>3666</v>
      </c>
      <c r="I753" s="474"/>
      <c r="J753" s="475" t="s">
        <v>4933</v>
      </c>
    </row>
    <row r="754" spans="1:10" ht="14.25" customHeight="1">
      <c r="A754" s="520" t="s">
        <v>1161</v>
      </c>
      <c r="B754" s="521" t="s">
        <v>1162</v>
      </c>
      <c r="C754" s="520" t="s">
        <v>213</v>
      </c>
      <c r="D754" s="472">
        <v>4.7249999999999996</v>
      </c>
      <c r="E754" s="522">
        <v>4.4050000000000002</v>
      </c>
      <c r="F754" s="523" t="s">
        <v>4166</v>
      </c>
      <c r="G754" s="524" t="s">
        <v>3663</v>
      </c>
      <c r="H754" s="525" t="s">
        <v>3666</v>
      </c>
      <c r="I754" s="474"/>
      <c r="J754" s="475" t="s">
        <v>4934</v>
      </c>
    </row>
    <row r="755" spans="1:10" ht="14.25" customHeight="1">
      <c r="A755" s="520" t="s">
        <v>1163</v>
      </c>
      <c r="B755" s="521" t="s">
        <v>1164</v>
      </c>
      <c r="C755" s="520" t="s">
        <v>213</v>
      </c>
      <c r="D755" s="472">
        <v>14.116</v>
      </c>
      <c r="E755" s="522">
        <v>13.157999999999999</v>
      </c>
      <c r="F755" s="523" t="s">
        <v>4166</v>
      </c>
      <c r="G755" s="524" t="s">
        <v>3663</v>
      </c>
      <c r="H755" s="525" t="s">
        <v>3666</v>
      </c>
      <c r="I755" s="474"/>
      <c r="J755" s="475" t="s">
        <v>4935</v>
      </c>
    </row>
    <row r="756" spans="1:10" ht="14.25" customHeight="1">
      <c r="A756" s="520" t="s">
        <v>1165</v>
      </c>
      <c r="B756" s="521" t="s">
        <v>1166</v>
      </c>
      <c r="C756" s="520" t="s">
        <v>213</v>
      </c>
      <c r="D756" s="472">
        <v>7.077</v>
      </c>
      <c r="E756" s="522">
        <v>6.5990000000000002</v>
      </c>
      <c r="F756" s="523" t="s">
        <v>4166</v>
      </c>
      <c r="G756" s="524" t="s">
        <v>3663</v>
      </c>
      <c r="H756" s="525" t="s">
        <v>3666</v>
      </c>
      <c r="I756" s="474"/>
      <c r="J756" s="475" t="s">
        <v>4936</v>
      </c>
    </row>
    <row r="757" spans="1:10" ht="14.25" customHeight="1">
      <c r="A757" s="520" t="s">
        <v>1167</v>
      </c>
      <c r="B757" s="521" t="s">
        <v>1168</v>
      </c>
      <c r="C757" s="520" t="s">
        <v>213</v>
      </c>
      <c r="D757" s="472">
        <v>3.968</v>
      </c>
      <c r="E757" s="522">
        <v>3.7</v>
      </c>
      <c r="F757" s="523" t="s">
        <v>4166</v>
      </c>
      <c r="G757" s="524" t="s">
        <v>3663</v>
      </c>
      <c r="H757" s="525" t="s">
        <v>3666</v>
      </c>
      <c r="I757" s="474"/>
      <c r="J757" s="475" t="s">
        <v>4937</v>
      </c>
    </row>
    <row r="758" spans="1:10" ht="14.25" customHeight="1">
      <c r="A758" s="520" t="s">
        <v>1169</v>
      </c>
      <c r="B758" s="521" t="s">
        <v>1170</v>
      </c>
      <c r="C758" s="520" t="s">
        <v>213</v>
      </c>
      <c r="D758" s="472">
        <v>20.969000000000001</v>
      </c>
      <c r="E758" s="522">
        <v>19.555</v>
      </c>
      <c r="F758" s="523" t="s">
        <v>4166</v>
      </c>
      <c r="G758" s="524" t="s">
        <v>3663</v>
      </c>
      <c r="H758" s="525" t="s">
        <v>3666</v>
      </c>
      <c r="I758" s="474"/>
      <c r="J758" s="475" t="s">
        <v>4938</v>
      </c>
    </row>
    <row r="759" spans="1:10" ht="14.25" customHeight="1">
      <c r="A759" s="520" t="s">
        <v>1171</v>
      </c>
      <c r="B759" s="521" t="s">
        <v>1172</v>
      </c>
      <c r="C759" s="520" t="s">
        <v>213</v>
      </c>
      <c r="D759" s="472">
        <v>14.73</v>
      </c>
      <c r="E759" s="522">
        <v>13.726000000000001</v>
      </c>
      <c r="F759" s="523" t="s">
        <v>4166</v>
      </c>
      <c r="G759" s="524" t="s">
        <v>3663</v>
      </c>
      <c r="H759" s="525" t="s">
        <v>3666</v>
      </c>
      <c r="I759" s="474"/>
      <c r="J759" s="475" t="s">
        <v>4939</v>
      </c>
    </row>
    <row r="760" spans="1:10" ht="14.25" customHeight="1">
      <c r="A760" s="520" t="s">
        <v>1173</v>
      </c>
      <c r="B760" s="521" t="s">
        <v>1174</v>
      </c>
      <c r="C760" s="520" t="s">
        <v>213</v>
      </c>
      <c r="D760" s="472">
        <v>21.582999999999998</v>
      </c>
      <c r="E760" s="522">
        <v>20.122</v>
      </c>
      <c r="F760" s="523" t="s">
        <v>4166</v>
      </c>
      <c r="G760" s="524" t="s">
        <v>3663</v>
      </c>
      <c r="H760" s="525" t="s">
        <v>3666</v>
      </c>
      <c r="I760" s="474"/>
      <c r="J760" s="475" t="s">
        <v>4940</v>
      </c>
    </row>
    <row r="761" spans="1:10" ht="14.25" customHeight="1">
      <c r="A761" s="520" t="s">
        <v>1175</v>
      </c>
      <c r="B761" s="521" t="s">
        <v>1176</v>
      </c>
      <c r="C761" s="520" t="s">
        <v>213</v>
      </c>
      <c r="D761" s="472">
        <v>15.2</v>
      </c>
      <c r="E761" s="522">
        <v>14.164</v>
      </c>
      <c r="F761" s="523" t="s">
        <v>4166</v>
      </c>
      <c r="G761" s="524" t="s">
        <v>3663</v>
      </c>
      <c r="H761" s="525" t="s">
        <v>3666</v>
      </c>
      <c r="I761" s="474"/>
      <c r="J761" s="475" t="s">
        <v>4941</v>
      </c>
    </row>
    <row r="762" spans="1:10" ht="14.25" customHeight="1">
      <c r="A762" s="520" t="s">
        <v>1177</v>
      </c>
      <c r="B762" s="521" t="s">
        <v>1178</v>
      </c>
      <c r="C762" s="520" t="s">
        <v>213</v>
      </c>
      <c r="D762" s="472">
        <v>22.053000000000001</v>
      </c>
      <c r="E762" s="522">
        <v>20.561</v>
      </c>
      <c r="F762" s="523" t="s">
        <v>4166</v>
      </c>
      <c r="G762" s="524" t="s">
        <v>3663</v>
      </c>
      <c r="H762" s="525" t="s">
        <v>3666</v>
      </c>
      <c r="I762" s="474"/>
      <c r="J762" s="475" t="s">
        <v>4942</v>
      </c>
    </row>
    <row r="763" spans="1:10" ht="14.25" customHeight="1">
      <c r="A763" s="520" t="s">
        <v>1179</v>
      </c>
      <c r="B763" s="521" t="s">
        <v>1180</v>
      </c>
      <c r="C763" s="520" t="s">
        <v>213</v>
      </c>
      <c r="D763" s="472">
        <v>16.366</v>
      </c>
      <c r="E763" s="522">
        <v>15.26</v>
      </c>
      <c r="F763" s="523" t="s">
        <v>4166</v>
      </c>
      <c r="G763" s="524" t="s">
        <v>3663</v>
      </c>
      <c r="H763" s="525" t="s">
        <v>3666</v>
      </c>
      <c r="I763" s="474"/>
      <c r="J763" s="475" t="s">
        <v>4943</v>
      </c>
    </row>
    <row r="764" spans="1:10" ht="14.25" customHeight="1">
      <c r="A764" s="520" t="s">
        <v>1181</v>
      </c>
      <c r="B764" s="521" t="s">
        <v>1182</v>
      </c>
      <c r="C764" s="520" t="s">
        <v>213</v>
      </c>
      <c r="D764" s="472">
        <v>2.4340000000000002</v>
      </c>
      <c r="E764" s="522">
        <v>2.3650000000000002</v>
      </c>
      <c r="F764" s="523" t="s">
        <v>4166</v>
      </c>
      <c r="G764" s="524" t="s">
        <v>3663</v>
      </c>
      <c r="H764" s="525" t="s">
        <v>3666</v>
      </c>
      <c r="I764" s="474"/>
      <c r="J764" s="475" t="s">
        <v>4944</v>
      </c>
    </row>
    <row r="765" spans="1:10" ht="14.25" customHeight="1">
      <c r="A765" s="520" t="s">
        <v>1183</v>
      </c>
      <c r="B765" s="521" t="s">
        <v>1184</v>
      </c>
      <c r="C765" s="520" t="s">
        <v>213</v>
      </c>
      <c r="D765" s="472">
        <v>2.1269999999999998</v>
      </c>
      <c r="E765" s="522">
        <v>2.0680000000000001</v>
      </c>
      <c r="F765" s="523" t="s">
        <v>4166</v>
      </c>
      <c r="G765" s="524" t="s">
        <v>3663</v>
      </c>
      <c r="H765" s="525" t="s">
        <v>3666</v>
      </c>
      <c r="I765" s="474"/>
      <c r="J765" s="475" t="s">
        <v>4945</v>
      </c>
    </row>
    <row r="766" spans="1:10" ht="14.25" customHeight="1">
      <c r="A766" s="520" t="s">
        <v>1185</v>
      </c>
      <c r="B766" s="521" t="s">
        <v>1186</v>
      </c>
      <c r="C766" s="520" t="s">
        <v>213</v>
      </c>
      <c r="D766" s="472">
        <v>6.4640000000000004</v>
      </c>
      <c r="E766" s="522">
        <v>6.0279999999999996</v>
      </c>
      <c r="F766" s="523" t="s">
        <v>4166</v>
      </c>
      <c r="G766" s="524" t="s">
        <v>3663</v>
      </c>
      <c r="H766" s="525" t="s">
        <v>3666</v>
      </c>
      <c r="I766" s="474"/>
      <c r="J766" s="475" t="s">
        <v>4946</v>
      </c>
    </row>
    <row r="767" spans="1:10" ht="14.25" customHeight="1">
      <c r="A767" s="520" t="s">
        <v>1187</v>
      </c>
      <c r="B767" s="521" t="s">
        <v>1188</v>
      </c>
      <c r="C767" s="520" t="s">
        <v>213</v>
      </c>
      <c r="D767" s="472">
        <v>25.510999999999999</v>
      </c>
      <c r="E767" s="522">
        <v>23.795999999999999</v>
      </c>
      <c r="F767" s="523" t="s">
        <v>4166</v>
      </c>
      <c r="G767" s="524" t="s">
        <v>3663</v>
      </c>
      <c r="H767" s="525" t="s">
        <v>3666</v>
      </c>
      <c r="I767" s="474"/>
      <c r="J767" s="475" t="s">
        <v>4947</v>
      </c>
    </row>
    <row r="768" spans="1:10" ht="14.25" customHeight="1">
      <c r="A768" s="520" t="s">
        <v>1189</v>
      </c>
      <c r="B768" s="521" t="s">
        <v>1190</v>
      </c>
      <c r="C768" s="520" t="s">
        <v>213</v>
      </c>
      <c r="D768" s="472">
        <v>17.021000000000001</v>
      </c>
      <c r="E768" s="522">
        <v>15.864000000000001</v>
      </c>
      <c r="F768" s="523" t="s">
        <v>4166</v>
      </c>
      <c r="G768" s="524" t="s">
        <v>3663</v>
      </c>
      <c r="H768" s="525" t="s">
        <v>3666</v>
      </c>
      <c r="I768" s="474"/>
      <c r="J768" s="475" t="s">
        <v>4948</v>
      </c>
    </row>
    <row r="769" spans="1:10" ht="14.25" customHeight="1">
      <c r="A769" s="520" t="s">
        <v>1191</v>
      </c>
      <c r="B769" s="521" t="s">
        <v>1192</v>
      </c>
      <c r="C769" s="520" t="s">
        <v>213</v>
      </c>
      <c r="D769" s="472">
        <v>26.146000000000001</v>
      </c>
      <c r="E769" s="522">
        <v>24.38</v>
      </c>
      <c r="F769" s="523" t="s">
        <v>4166</v>
      </c>
      <c r="G769" s="524" t="s">
        <v>3663</v>
      </c>
      <c r="H769" s="525" t="s">
        <v>3666</v>
      </c>
      <c r="I769" s="474"/>
      <c r="J769" s="475" t="s">
        <v>4949</v>
      </c>
    </row>
    <row r="770" spans="1:10" ht="14.25" customHeight="1">
      <c r="A770" s="520" t="s">
        <v>1193</v>
      </c>
      <c r="B770" s="521" t="s">
        <v>1194</v>
      </c>
      <c r="C770" s="520" t="s">
        <v>213</v>
      </c>
      <c r="D770" s="472">
        <v>17.491</v>
      </c>
      <c r="E770" s="522">
        <v>16.302</v>
      </c>
      <c r="F770" s="523" t="s">
        <v>4166</v>
      </c>
      <c r="G770" s="524" t="s">
        <v>3663</v>
      </c>
      <c r="H770" s="525" t="s">
        <v>3666</v>
      </c>
      <c r="I770" s="474"/>
      <c r="J770" s="475" t="s">
        <v>4950</v>
      </c>
    </row>
    <row r="771" spans="1:10" ht="14.25" customHeight="1">
      <c r="A771" s="520" t="s">
        <v>1195</v>
      </c>
      <c r="B771" s="521" t="s">
        <v>1196</v>
      </c>
      <c r="C771" s="520" t="s">
        <v>213</v>
      </c>
      <c r="D771" s="472">
        <v>26.594000000000001</v>
      </c>
      <c r="E771" s="522">
        <v>24.8</v>
      </c>
      <c r="F771" s="523" t="s">
        <v>4166</v>
      </c>
      <c r="G771" s="524" t="s">
        <v>3663</v>
      </c>
      <c r="H771" s="525" t="s">
        <v>3666</v>
      </c>
      <c r="I771" s="474"/>
      <c r="J771" s="475" t="s">
        <v>4951</v>
      </c>
    </row>
    <row r="772" spans="1:10" ht="14.25" customHeight="1">
      <c r="A772" s="520" t="s">
        <v>1197</v>
      </c>
      <c r="B772" s="521" t="s">
        <v>1198</v>
      </c>
      <c r="C772" s="520" t="s">
        <v>213</v>
      </c>
      <c r="D772" s="472">
        <v>9.0009999999999994</v>
      </c>
      <c r="E772" s="522">
        <v>8.3889999999999993</v>
      </c>
      <c r="F772" s="523" t="s">
        <v>4166</v>
      </c>
      <c r="G772" s="524" t="s">
        <v>3663</v>
      </c>
      <c r="H772" s="525" t="s">
        <v>3666</v>
      </c>
      <c r="I772" s="474"/>
      <c r="J772" s="475" t="s">
        <v>4952</v>
      </c>
    </row>
    <row r="773" spans="1:10" ht="14.25" customHeight="1">
      <c r="A773" s="520" t="s">
        <v>1199</v>
      </c>
      <c r="B773" s="521" t="s">
        <v>1200</v>
      </c>
      <c r="C773" s="520" t="s">
        <v>213</v>
      </c>
      <c r="D773" s="472">
        <v>2.843</v>
      </c>
      <c r="E773" s="522">
        <v>2.6509999999999998</v>
      </c>
      <c r="F773" s="523" t="s">
        <v>4166</v>
      </c>
      <c r="G773" s="524" t="s">
        <v>3663</v>
      </c>
      <c r="H773" s="525" t="s">
        <v>3666</v>
      </c>
      <c r="I773" s="474"/>
      <c r="J773" s="475" t="s">
        <v>4953</v>
      </c>
    </row>
    <row r="774" spans="1:10" ht="14.25" customHeight="1">
      <c r="A774" s="520" t="s">
        <v>1201</v>
      </c>
      <c r="B774" s="521" t="s">
        <v>1202</v>
      </c>
      <c r="C774" s="520" t="s">
        <v>213</v>
      </c>
      <c r="D774" s="472">
        <v>14.116</v>
      </c>
      <c r="E774" s="522">
        <v>13.157999999999999</v>
      </c>
      <c r="F774" s="523" t="s">
        <v>4166</v>
      </c>
      <c r="G774" s="524" t="s">
        <v>3663</v>
      </c>
      <c r="H774" s="525" t="s">
        <v>3666</v>
      </c>
      <c r="I774" s="474"/>
      <c r="J774" s="475" t="s">
        <v>4954</v>
      </c>
    </row>
    <row r="775" spans="1:10" ht="14.25" customHeight="1">
      <c r="A775" s="520" t="s">
        <v>1203</v>
      </c>
      <c r="B775" s="521" t="s">
        <v>1204</v>
      </c>
      <c r="C775" s="520" t="s">
        <v>213</v>
      </c>
      <c r="D775" s="472">
        <v>16.373000000000001</v>
      </c>
      <c r="E775" s="522">
        <v>13.404999999999999</v>
      </c>
      <c r="F775" s="523" t="s">
        <v>4166</v>
      </c>
      <c r="G775" s="524" t="s">
        <v>3663</v>
      </c>
      <c r="H775" s="525" t="s">
        <v>3666</v>
      </c>
      <c r="I775" s="474"/>
      <c r="J775" s="475" t="s">
        <v>4955</v>
      </c>
    </row>
    <row r="776" spans="1:10" ht="14.25" customHeight="1">
      <c r="A776" s="520" t="s">
        <v>1205</v>
      </c>
      <c r="B776" s="521" t="s">
        <v>1206</v>
      </c>
      <c r="C776" s="520" t="s">
        <v>213</v>
      </c>
      <c r="D776" s="472">
        <v>2.226</v>
      </c>
      <c r="E776" s="522">
        <v>2.0830000000000002</v>
      </c>
      <c r="F776" s="523">
        <v>1</v>
      </c>
      <c r="G776" s="524" t="s">
        <v>3663</v>
      </c>
      <c r="H776" s="525" t="s">
        <v>3666</v>
      </c>
      <c r="I776" s="474"/>
      <c r="J776" s="475" t="s">
        <v>4956</v>
      </c>
    </row>
    <row r="777" spans="1:10" ht="14.25" customHeight="1">
      <c r="A777" s="520" t="s">
        <v>1207</v>
      </c>
      <c r="B777" s="521" t="s">
        <v>1208</v>
      </c>
      <c r="C777" s="520" t="s">
        <v>213</v>
      </c>
      <c r="D777" s="472">
        <v>2.226</v>
      </c>
      <c r="E777" s="522">
        <v>2.0830000000000002</v>
      </c>
      <c r="F777" s="523">
        <v>1</v>
      </c>
      <c r="G777" s="524" t="s">
        <v>3663</v>
      </c>
      <c r="H777" s="525" t="s">
        <v>3666</v>
      </c>
      <c r="I777" s="474"/>
      <c r="J777" s="475" t="s">
        <v>4957</v>
      </c>
    </row>
    <row r="778" spans="1:10" ht="14.25" customHeight="1">
      <c r="A778" s="520" t="s">
        <v>1209</v>
      </c>
      <c r="B778" s="521" t="s">
        <v>1210</v>
      </c>
      <c r="C778" s="520" t="s">
        <v>213</v>
      </c>
      <c r="D778" s="472">
        <v>2.226</v>
      </c>
      <c r="E778" s="522">
        <v>2.0830000000000002</v>
      </c>
      <c r="F778" s="523">
        <v>1</v>
      </c>
      <c r="G778" s="524" t="s">
        <v>3663</v>
      </c>
      <c r="H778" s="525" t="s">
        <v>3666</v>
      </c>
      <c r="I778" s="474"/>
      <c r="J778" s="475" t="s">
        <v>4958</v>
      </c>
    </row>
    <row r="779" spans="1:10" ht="14.25" customHeight="1">
      <c r="A779" s="520" t="s">
        <v>1211</v>
      </c>
      <c r="B779" s="521" t="s">
        <v>1212</v>
      </c>
      <c r="C779" s="520" t="s">
        <v>213</v>
      </c>
      <c r="D779" s="472">
        <v>2.6349999999999998</v>
      </c>
      <c r="E779" s="522">
        <v>2.4390000000000001</v>
      </c>
      <c r="F779" s="523">
        <v>2</v>
      </c>
      <c r="G779" s="524" t="s">
        <v>3663</v>
      </c>
      <c r="H779" s="525" t="s">
        <v>3666</v>
      </c>
      <c r="I779" s="474"/>
      <c r="J779" s="475" t="s">
        <v>4959</v>
      </c>
    </row>
    <row r="780" spans="1:10" ht="14.25" customHeight="1">
      <c r="A780" s="520" t="s">
        <v>1213</v>
      </c>
      <c r="B780" s="521" t="s">
        <v>1214</v>
      </c>
      <c r="C780" s="520" t="s">
        <v>213</v>
      </c>
      <c r="D780" s="472">
        <v>1.7</v>
      </c>
      <c r="E780" s="522">
        <v>1.5720000000000001</v>
      </c>
      <c r="F780" s="523" t="s">
        <v>4166</v>
      </c>
      <c r="G780" s="524" t="s">
        <v>3663</v>
      </c>
      <c r="H780" s="525" t="s">
        <v>3666</v>
      </c>
      <c r="I780" s="474"/>
      <c r="J780" s="475" t="s">
        <v>4960</v>
      </c>
    </row>
    <row r="781" spans="1:10" ht="14.25" customHeight="1">
      <c r="A781" s="520" t="s">
        <v>1215</v>
      </c>
      <c r="B781" s="521" t="s">
        <v>1216</v>
      </c>
      <c r="C781" s="520" t="s">
        <v>213</v>
      </c>
      <c r="D781" s="472">
        <v>0.40799999999999997</v>
      </c>
      <c r="E781" s="522">
        <v>0.38100000000000001</v>
      </c>
      <c r="F781" s="523" t="s">
        <v>4166</v>
      </c>
      <c r="G781" s="524" t="s">
        <v>3663</v>
      </c>
      <c r="H781" s="525" t="s">
        <v>3666</v>
      </c>
      <c r="I781" s="474"/>
      <c r="J781" s="475" t="s">
        <v>4961</v>
      </c>
    </row>
    <row r="782" spans="1:10" ht="14.25" customHeight="1">
      <c r="A782" s="520" t="s">
        <v>1217</v>
      </c>
      <c r="B782" s="521" t="s">
        <v>957</v>
      </c>
      <c r="C782" s="520" t="s">
        <v>213</v>
      </c>
      <c r="D782" s="472">
        <v>0.20799999999999999</v>
      </c>
      <c r="E782" s="522">
        <v>0.19400000000000001</v>
      </c>
      <c r="F782" s="523" t="s">
        <v>4166</v>
      </c>
      <c r="G782" s="524" t="s">
        <v>3663</v>
      </c>
      <c r="H782" s="525" t="s">
        <v>3666</v>
      </c>
      <c r="I782" s="474"/>
      <c r="J782" s="475" t="s">
        <v>4962</v>
      </c>
    </row>
    <row r="783" spans="1:10" ht="14.25" customHeight="1">
      <c r="A783" s="520" t="s">
        <v>1218</v>
      </c>
      <c r="B783" s="521" t="s">
        <v>1219</v>
      </c>
      <c r="C783" s="520" t="s">
        <v>213</v>
      </c>
      <c r="D783" s="472">
        <v>2.6349999999999998</v>
      </c>
      <c r="E783" s="522">
        <v>2.4390000000000001</v>
      </c>
      <c r="F783" s="523">
        <v>2</v>
      </c>
      <c r="G783" s="524" t="s">
        <v>3663</v>
      </c>
      <c r="H783" s="525" t="s">
        <v>3666</v>
      </c>
      <c r="I783" s="474"/>
      <c r="J783" s="475" t="s">
        <v>4963</v>
      </c>
    </row>
    <row r="784" spans="1:10" ht="14.25" customHeight="1">
      <c r="A784" s="520" t="s">
        <v>1220</v>
      </c>
      <c r="B784" s="521" t="s">
        <v>1221</v>
      </c>
      <c r="C784" s="520" t="s">
        <v>213</v>
      </c>
      <c r="D784" s="472">
        <v>1.7</v>
      </c>
      <c r="E784" s="522">
        <v>1.5720000000000001</v>
      </c>
      <c r="F784" s="523" t="s">
        <v>4166</v>
      </c>
      <c r="G784" s="524" t="s">
        <v>3663</v>
      </c>
      <c r="H784" s="525" t="s">
        <v>3666</v>
      </c>
      <c r="I784" s="474"/>
      <c r="J784" s="475" t="s">
        <v>4964</v>
      </c>
    </row>
    <row r="785" spans="1:10" ht="14.25" customHeight="1">
      <c r="A785" s="520" t="s">
        <v>1222</v>
      </c>
      <c r="B785" s="521" t="s">
        <v>1223</v>
      </c>
      <c r="C785" s="520" t="s">
        <v>213</v>
      </c>
      <c r="D785" s="472">
        <v>0.40799999999999997</v>
      </c>
      <c r="E785" s="522">
        <v>0.38100000000000001</v>
      </c>
      <c r="F785" s="523" t="s">
        <v>4166</v>
      </c>
      <c r="G785" s="524" t="s">
        <v>3663</v>
      </c>
      <c r="H785" s="525" t="s">
        <v>3666</v>
      </c>
      <c r="I785" s="474"/>
      <c r="J785" s="475" t="s">
        <v>4965</v>
      </c>
    </row>
    <row r="786" spans="1:10" ht="14.25" customHeight="1">
      <c r="A786" s="520" t="s">
        <v>1224</v>
      </c>
      <c r="B786" s="521" t="s">
        <v>957</v>
      </c>
      <c r="C786" s="520" t="s">
        <v>213</v>
      </c>
      <c r="D786" s="472">
        <v>0.20799999999999999</v>
      </c>
      <c r="E786" s="522">
        <v>0.19400000000000001</v>
      </c>
      <c r="F786" s="523" t="s">
        <v>4166</v>
      </c>
      <c r="G786" s="524" t="s">
        <v>3663</v>
      </c>
      <c r="H786" s="525" t="s">
        <v>3666</v>
      </c>
      <c r="I786" s="474"/>
      <c r="J786" s="475" t="s">
        <v>4966</v>
      </c>
    </row>
    <row r="787" spans="1:10" ht="14.25" customHeight="1">
      <c r="A787" s="559" t="s">
        <v>3313</v>
      </c>
      <c r="B787" s="560" t="s">
        <v>3314</v>
      </c>
      <c r="C787" s="559" t="s">
        <v>213</v>
      </c>
      <c r="D787" s="472">
        <v>9.327</v>
      </c>
      <c r="E787" s="522">
        <v>8.6989999999999998</v>
      </c>
      <c r="F787" s="523" t="s">
        <v>4166</v>
      </c>
      <c r="G787" s="524" t="s">
        <v>3663</v>
      </c>
      <c r="H787" s="525" t="s">
        <v>3666</v>
      </c>
      <c r="I787" s="474"/>
      <c r="J787" s="475" t="s">
        <v>4967</v>
      </c>
    </row>
    <row r="788" spans="1:10" ht="14.25" customHeight="1">
      <c r="A788" s="559" t="s">
        <v>3315</v>
      </c>
      <c r="B788" s="560" t="s">
        <v>3316</v>
      </c>
      <c r="C788" s="559" t="s">
        <v>213</v>
      </c>
      <c r="D788" s="472">
        <v>7.6509999999999998</v>
      </c>
      <c r="E788" s="522">
        <v>7.1340000000000003</v>
      </c>
      <c r="F788" s="523" t="s">
        <v>4166</v>
      </c>
      <c r="G788" s="524" t="s">
        <v>3663</v>
      </c>
      <c r="H788" s="525" t="s">
        <v>3666</v>
      </c>
      <c r="I788" s="474"/>
      <c r="J788" s="475" t="s">
        <v>4968</v>
      </c>
    </row>
    <row r="789" spans="1:10" ht="14.25" customHeight="1">
      <c r="A789" s="559" t="s">
        <v>3317</v>
      </c>
      <c r="B789" s="560" t="s">
        <v>3318</v>
      </c>
      <c r="C789" s="559" t="s">
        <v>213</v>
      </c>
      <c r="D789" s="472">
        <v>24.038</v>
      </c>
      <c r="E789" s="522">
        <v>22.407</v>
      </c>
      <c r="F789" s="523" t="s">
        <v>4166</v>
      </c>
      <c r="G789" s="524" t="s">
        <v>3663</v>
      </c>
      <c r="H789" s="525" t="s">
        <v>3666</v>
      </c>
      <c r="I789" s="474"/>
      <c r="J789" s="475" t="s">
        <v>4969</v>
      </c>
    </row>
    <row r="790" spans="1:10" ht="14.25" customHeight="1">
      <c r="A790" s="559" t="s">
        <v>3319</v>
      </c>
      <c r="B790" s="560" t="s">
        <v>3320</v>
      </c>
      <c r="C790" s="559" t="s">
        <v>213</v>
      </c>
      <c r="D790" s="472">
        <v>6.6779999999999999</v>
      </c>
      <c r="E790" s="522">
        <v>6.226</v>
      </c>
      <c r="F790" s="523" t="s">
        <v>4166</v>
      </c>
      <c r="G790" s="524" t="s">
        <v>3663</v>
      </c>
      <c r="H790" s="525" t="s">
        <v>3666</v>
      </c>
      <c r="I790" s="474"/>
      <c r="J790" s="475" t="s">
        <v>4970</v>
      </c>
    </row>
    <row r="791" spans="1:10" ht="14.25" customHeight="1">
      <c r="A791" s="559" t="s">
        <v>3321</v>
      </c>
      <c r="B791" s="560" t="s">
        <v>3322</v>
      </c>
      <c r="C791" s="559" t="s">
        <v>213</v>
      </c>
      <c r="D791" s="472">
        <v>9.327</v>
      </c>
      <c r="E791" s="522">
        <v>8.6989999999999998</v>
      </c>
      <c r="F791" s="523">
        <v>74</v>
      </c>
      <c r="G791" s="524" t="s">
        <v>3663</v>
      </c>
      <c r="H791" s="525" t="s">
        <v>3666</v>
      </c>
      <c r="I791" s="474"/>
      <c r="J791" s="475" t="s">
        <v>4971</v>
      </c>
    </row>
    <row r="792" spans="1:10" ht="14.25" customHeight="1">
      <c r="A792" s="559" t="s">
        <v>3323</v>
      </c>
      <c r="B792" s="560" t="s">
        <v>3324</v>
      </c>
      <c r="C792" s="559" t="s">
        <v>213</v>
      </c>
      <c r="D792" s="472">
        <v>7.6529999999999996</v>
      </c>
      <c r="E792" s="522">
        <v>7.1360000000000001</v>
      </c>
      <c r="F792" s="523" t="s">
        <v>4166</v>
      </c>
      <c r="G792" s="524" t="s">
        <v>3663</v>
      </c>
      <c r="H792" s="525" t="s">
        <v>3666</v>
      </c>
      <c r="I792" s="474"/>
      <c r="J792" s="475" t="s">
        <v>4972</v>
      </c>
    </row>
    <row r="793" spans="1:10" ht="14.25" customHeight="1">
      <c r="A793" s="559" t="s">
        <v>3325</v>
      </c>
      <c r="B793" s="560" t="s">
        <v>3326</v>
      </c>
      <c r="C793" s="559" t="s">
        <v>213</v>
      </c>
      <c r="D793" s="472">
        <v>24.038</v>
      </c>
      <c r="E793" s="522">
        <v>22.407</v>
      </c>
      <c r="F793" s="523" t="s">
        <v>4166</v>
      </c>
      <c r="G793" s="524" t="s">
        <v>3663</v>
      </c>
      <c r="H793" s="525" t="s">
        <v>3666</v>
      </c>
      <c r="I793" s="474"/>
      <c r="J793" s="475" t="s">
        <v>4973</v>
      </c>
    </row>
    <row r="794" spans="1:10" ht="14.25" customHeight="1">
      <c r="A794" s="559" t="s">
        <v>3327</v>
      </c>
      <c r="B794" s="560" t="s">
        <v>3328</v>
      </c>
      <c r="C794" s="559" t="s">
        <v>213</v>
      </c>
      <c r="D794" s="472">
        <v>24.038</v>
      </c>
      <c r="E794" s="522">
        <v>22.407</v>
      </c>
      <c r="F794" s="523" t="s">
        <v>4166</v>
      </c>
      <c r="G794" s="524" t="s">
        <v>3663</v>
      </c>
      <c r="H794" s="525" t="s">
        <v>3666</v>
      </c>
      <c r="I794" s="474"/>
      <c r="J794" s="475" t="s">
        <v>4974</v>
      </c>
    </row>
    <row r="795" spans="1:10" ht="14.25" customHeight="1">
      <c r="A795" s="559" t="s">
        <v>3329</v>
      </c>
      <c r="B795" s="560" t="s">
        <v>3330</v>
      </c>
      <c r="C795" s="559" t="s">
        <v>213</v>
      </c>
      <c r="D795" s="472">
        <v>26.440999999999999</v>
      </c>
      <c r="E795" s="522">
        <v>24.661000000000001</v>
      </c>
      <c r="F795" s="523" t="s">
        <v>4166</v>
      </c>
      <c r="G795" s="524" t="s">
        <v>3663</v>
      </c>
      <c r="H795" s="525" t="s">
        <v>3666</v>
      </c>
      <c r="I795" s="474"/>
      <c r="J795" s="475" t="s">
        <v>4975</v>
      </c>
    </row>
    <row r="796" spans="1:10" ht="14.25" customHeight="1">
      <c r="A796" s="559" t="s">
        <v>3331</v>
      </c>
      <c r="B796" s="560" t="s">
        <v>3332</v>
      </c>
      <c r="C796" s="559" t="s">
        <v>213</v>
      </c>
      <c r="D796" s="472">
        <v>12.388</v>
      </c>
      <c r="E796" s="522">
        <v>9.7200000000000006</v>
      </c>
      <c r="F796" s="523" t="s">
        <v>4166</v>
      </c>
      <c r="G796" s="524" t="s">
        <v>3663</v>
      </c>
      <c r="H796" s="525" t="s">
        <v>3666</v>
      </c>
      <c r="I796" s="474"/>
      <c r="J796" s="475" t="s">
        <v>4976</v>
      </c>
    </row>
    <row r="797" spans="1:10" ht="14.25" customHeight="1">
      <c r="A797" s="559" t="s">
        <v>3333</v>
      </c>
      <c r="B797" s="560" t="s">
        <v>3334</v>
      </c>
      <c r="C797" s="559" t="s">
        <v>213</v>
      </c>
      <c r="D797" s="472">
        <v>26.44</v>
      </c>
      <c r="E797" s="522">
        <v>24.646000000000001</v>
      </c>
      <c r="F797" s="523" t="s">
        <v>4166</v>
      </c>
      <c r="G797" s="524" t="s">
        <v>3663</v>
      </c>
      <c r="H797" s="525" t="s">
        <v>3666</v>
      </c>
      <c r="I797" s="474"/>
      <c r="J797" s="475" t="s">
        <v>4977</v>
      </c>
    </row>
    <row r="798" spans="1:10" ht="14.25" customHeight="1">
      <c r="A798" s="559" t="s">
        <v>3335</v>
      </c>
      <c r="B798" s="560" t="s">
        <v>3336</v>
      </c>
      <c r="C798" s="559" t="s">
        <v>213</v>
      </c>
      <c r="D798" s="472">
        <v>10.265000000000001</v>
      </c>
      <c r="E798" s="522">
        <v>9.5719999999999992</v>
      </c>
      <c r="F798" s="523" t="s">
        <v>4166</v>
      </c>
      <c r="G798" s="524" t="s">
        <v>3663</v>
      </c>
      <c r="H798" s="525" t="s">
        <v>3666</v>
      </c>
      <c r="I798" s="474"/>
      <c r="J798" s="475" t="s">
        <v>4978</v>
      </c>
    </row>
    <row r="799" spans="1:10" ht="14.25" customHeight="1">
      <c r="A799" s="559" t="s">
        <v>3337</v>
      </c>
      <c r="B799" s="560" t="s">
        <v>3338</v>
      </c>
      <c r="C799" s="559" t="s">
        <v>213</v>
      </c>
      <c r="D799" s="472">
        <v>8.5809999999999995</v>
      </c>
      <c r="E799" s="522">
        <v>7.3049999999999997</v>
      </c>
      <c r="F799" s="523" t="s">
        <v>4166</v>
      </c>
      <c r="G799" s="524" t="s">
        <v>3663</v>
      </c>
      <c r="H799" s="525" t="s">
        <v>3666</v>
      </c>
      <c r="I799" s="474"/>
      <c r="J799" s="475" t="s">
        <v>4979</v>
      </c>
    </row>
    <row r="800" spans="1:10" ht="14.25" customHeight="1">
      <c r="A800" s="559" t="s">
        <v>3339</v>
      </c>
      <c r="B800" s="560" t="s">
        <v>3340</v>
      </c>
      <c r="C800" s="559" t="s">
        <v>213</v>
      </c>
      <c r="D800" s="472">
        <v>10.265000000000001</v>
      </c>
      <c r="E800" s="522">
        <v>0</v>
      </c>
      <c r="F800" s="523" t="s">
        <v>4166</v>
      </c>
      <c r="G800" s="524" t="s">
        <v>3663</v>
      </c>
      <c r="H800" s="525" t="s">
        <v>3666</v>
      </c>
      <c r="I800" s="474"/>
      <c r="J800" s="475" t="s">
        <v>4980</v>
      </c>
    </row>
    <row r="801" spans="1:10" ht="14.25" customHeight="1">
      <c r="A801" s="520" t="s">
        <v>1225</v>
      </c>
      <c r="B801" s="521" t="s">
        <v>1226</v>
      </c>
      <c r="C801" s="520" t="s">
        <v>213</v>
      </c>
      <c r="D801" s="472">
        <v>0.317</v>
      </c>
      <c r="E801" s="522">
        <v>0.28299999999999997</v>
      </c>
      <c r="F801" s="523">
        <v>0.7</v>
      </c>
      <c r="G801" s="526" t="s">
        <v>3668</v>
      </c>
      <c r="H801" s="525" t="s">
        <v>3678</v>
      </c>
      <c r="I801" s="474"/>
      <c r="J801" s="475" t="s">
        <v>4981</v>
      </c>
    </row>
    <row r="802" spans="1:10" ht="14.25" customHeight="1">
      <c r="A802" s="520" t="s">
        <v>1227</v>
      </c>
      <c r="B802" s="521" t="s">
        <v>1228</v>
      </c>
      <c r="C802" s="520" t="s">
        <v>213</v>
      </c>
      <c r="D802" s="472">
        <v>2.5739999999999998</v>
      </c>
      <c r="E802" s="522">
        <v>2.3929999999999998</v>
      </c>
      <c r="F802" s="523" t="s">
        <v>4166</v>
      </c>
      <c r="G802" s="526" t="s">
        <v>3668</v>
      </c>
      <c r="H802" s="525" t="s">
        <v>3678</v>
      </c>
      <c r="I802" s="474"/>
      <c r="J802" s="475" t="s">
        <v>4982</v>
      </c>
    </row>
    <row r="803" spans="1:10" ht="14.25" customHeight="1">
      <c r="A803" s="520" t="s">
        <v>1229</v>
      </c>
      <c r="B803" s="521" t="s">
        <v>1230</v>
      </c>
      <c r="C803" s="520" t="s">
        <v>213</v>
      </c>
      <c r="D803" s="472">
        <v>0.5</v>
      </c>
      <c r="E803" s="522">
        <v>0.45800000000000002</v>
      </c>
      <c r="F803" s="523">
        <v>0.32</v>
      </c>
      <c r="G803" s="524" t="s">
        <v>3663</v>
      </c>
      <c r="H803" s="525" t="s">
        <v>3666</v>
      </c>
      <c r="I803" s="474"/>
      <c r="J803" s="475" t="s">
        <v>4983</v>
      </c>
    </row>
    <row r="804" spans="1:10" ht="14.25" customHeight="1">
      <c r="A804" s="559" t="s">
        <v>3341</v>
      </c>
      <c r="B804" s="560" t="s">
        <v>3342</v>
      </c>
      <c r="C804" s="559" t="s">
        <v>213</v>
      </c>
      <c r="D804" s="472">
        <v>29.574000000000002</v>
      </c>
      <c r="E804" s="522">
        <v>27.579000000000001</v>
      </c>
      <c r="F804" s="523" t="s">
        <v>4166</v>
      </c>
      <c r="G804" s="524" t="s">
        <v>3663</v>
      </c>
      <c r="H804" s="525" t="s">
        <v>3666</v>
      </c>
      <c r="I804" s="474"/>
      <c r="J804" s="475" t="s">
        <v>4984</v>
      </c>
    </row>
    <row r="805" spans="1:10" ht="14.25" customHeight="1">
      <c r="A805" s="559" t="s">
        <v>3343</v>
      </c>
      <c r="B805" s="560" t="s">
        <v>3344</v>
      </c>
      <c r="C805" s="559" t="s">
        <v>213</v>
      </c>
      <c r="D805" s="472">
        <v>8.8610000000000007</v>
      </c>
      <c r="E805" s="522">
        <v>8.2620000000000005</v>
      </c>
      <c r="F805" s="523" t="s">
        <v>4166</v>
      </c>
      <c r="G805" s="524" t="s">
        <v>3663</v>
      </c>
      <c r="H805" s="525" t="s">
        <v>3666</v>
      </c>
      <c r="I805" s="474"/>
      <c r="J805" s="475" t="s">
        <v>4985</v>
      </c>
    </row>
    <row r="806" spans="1:10" ht="14.25" customHeight="1">
      <c r="A806" s="559" t="s">
        <v>3345</v>
      </c>
      <c r="B806" s="560" t="s">
        <v>3346</v>
      </c>
      <c r="C806" s="559" t="s">
        <v>213</v>
      </c>
      <c r="D806" s="472">
        <v>29.574000000000002</v>
      </c>
      <c r="E806" s="522">
        <v>27.579000000000001</v>
      </c>
      <c r="F806" s="523" t="s">
        <v>4166</v>
      </c>
      <c r="G806" s="524" t="s">
        <v>3663</v>
      </c>
      <c r="H806" s="525" t="s">
        <v>3666</v>
      </c>
      <c r="I806" s="474"/>
      <c r="J806" s="475" t="s">
        <v>4986</v>
      </c>
    </row>
    <row r="807" spans="1:10" ht="14.25" customHeight="1">
      <c r="A807" s="559" t="s">
        <v>3347</v>
      </c>
      <c r="B807" s="560" t="s">
        <v>3348</v>
      </c>
      <c r="C807" s="559" t="s">
        <v>213</v>
      </c>
      <c r="D807" s="472">
        <v>32.540999999999997</v>
      </c>
      <c r="E807" s="522">
        <v>30.341999999999999</v>
      </c>
      <c r="F807" s="523" t="s">
        <v>4166</v>
      </c>
      <c r="G807" s="524" t="s">
        <v>3663</v>
      </c>
      <c r="H807" s="525" t="s">
        <v>3666</v>
      </c>
      <c r="I807" s="474"/>
      <c r="J807" s="475" t="s">
        <v>4987</v>
      </c>
    </row>
    <row r="808" spans="1:10" ht="14.25" customHeight="1">
      <c r="A808" s="559" t="s">
        <v>3349</v>
      </c>
      <c r="B808" s="560" t="s">
        <v>3350</v>
      </c>
      <c r="C808" s="559" t="s">
        <v>213</v>
      </c>
      <c r="D808" s="472">
        <v>13.616</v>
      </c>
      <c r="E808" s="522">
        <v>10.726000000000001</v>
      </c>
      <c r="F808" s="523" t="s">
        <v>4166</v>
      </c>
      <c r="G808" s="524" t="s">
        <v>3663</v>
      </c>
      <c r="H808" s="525" t="s">
        <v>3666</v>
      </c>
      <c r="I808" s="474"/>
      <c r="J808" s="475" t="s">
        <v>4988</v>
      </c>
    </row>
    <row r="809" spans="1:10" ht="14.25" customHeight="1">
      <c r="A809" s="559" t="s">
        <v>3351</v>
      </c>
      <c r="B809" s="560" t="s">
        <v>3352</v>
      </c>
      <c r="C809" s="559" t="s">
        <v>213</v>
      </c>
      <c r="D809" s="472">
        <v>32.533000000000001</v>
      </c>
      <c r="E809" s="522">
        <v>0</v>
      </c>
      <c r="F809" s="523" t="s">
        <v>4166</v>
      </c>
      <c r="G809" s="524" t="s">
        <v>3663</v>
      </c>
      <c r="H809" s="525" t="s">
        <v>3666</v>
      </c>
      <c r="I809" s="474"/>
      <c r="J809" s="475" t="s">
        <v>4989</v>
      </c>
    </row>
    <row r="810" spans="1:10" ht="14.25" customHeight="1">
      <c r="A810" s="520" t="s">
        <v>1231</v>
      </c>
      <c r="B810" s="521" t="s">
        <v>1232</v>
      </c>
      <c r="C810" s="520" t="s">
        <v>213</v>
      </c>
      <c r="D810" s="472">
        <v>1.1819999999999999</v>
      </c>
      <c r="E810" s="522">
        <v>1.095</v>
      </c>
      <c r="F810" s="523" t="s">
        <v>4166</v>
      </c>
      <c r="G810" s="524" t="s">
        <v>3663</v>
      </c>
      <c r="H810" s="525" t="s">
        <v>3666</v>
      </c>
      <c r="I810" s="474"/>
      <c r="J810" s="475" t="s">
        <v>4990</v>
      </c>
    </row>
    <row r="811" spans="1:10" ht="14.25" customHeight="1">
      <c r="A811" s="520" t="s">
        <v>1233</v>
      </c>
      <c r="B811" s="521" t="s">
        <v>1234</v>
      </c>
      <c r="C811" s="520" t="s">
        <v>213</v>
      </c>
      <c r="D811" s="472">
        <v>1.1819999999999999</v>
      </c>
      <c r="E811" s="522">
        <v>1.095</v>
      </c>
      <c r="F811" s="523" t="s">
        <v>4166</v>
      </c>
      <c r="G811" s="524" t="s">
        <v>3663</v>
      </c>
      <c r="H811" s="525" t="s">
        <v>3666</v>
      </c>
      <c r="I811" s="474"/>
      <c r="J811" s="475" t="s">
        <v>4991</v>
      </c>
    </row>
    <row r="812" spans="1:10" ht="14.25" customHeight="1">
      <c r="A812" s="520" t="s">
        <v>1235</v>
      </c>
      <c r="B812" s="521" t="s">
        <v>1236</v>
      </c>
      <c r="C812" s="520" t="s">
        <v>213</v>
      </c>
      <c r="D812" s="472">
        <v>1.1819999999999999</v>
      </c>
      <c r="E812" s="522">
        <v>1.095</v>
      </c>
      <c r="F812" s="523" t="s">
        <v>4166</v>
      </c>
      <c r="G812" s="524" t="s">
        <v>3663</v>
      </c>
      <c r="H812" s="525" t="s">
        <v>3666</v>
      </c>
      <c r="I812" s="474"/>
      <c r="J812" s="475" t="s">
        <v>4992</v>
      </c>
    </row>
    <row r="813" spans="1:10" ht="14.25" customHeight="1">
      <c r="A813" s="520" t="s">
        <v>1237</v>
      </c>
      <c r="B813" s="521" t="s">
        <v>1238</v>
      </c>
      <c r="C813" s="520" t="s">
        <v>213</v>
      </c>
      <c r="D813" s="472">
        <v>1.1819999999999999</v>
      </c>
      <c r="E813" s="522">
        <v>1.095</v>
      </c>
      <c r="F813" s="523" t="s">
        <v>4166</v>
      </c>
      <c r="G813" s="524" t="s">
        <v>3663</v>
      </c>
      <c r="H813" s="525" t="s">
        <v>3666</v>
      </c>
      <c r="I813" s="474"/>
      <c r="J813" s="475" t="s">
        <v>4993</v>
      </c>
    </row>
    <row r="814" spans="1:10" ht="14.25" customHeight="1">
      <c r="A814" s="520" t="s">
        <v>1239</v>
      </c>
      <c r="B814" s="521" t="s">
        <v>1240</v>
      </c>
      <c r="C814" s="520" t="s">
        <v>213</v>
      </c>
      <c r="D814" s="472">
        <v>1.1819999999999999</v>
      </c>
      <c r="E814" s="522">
        <v>1.095</v>
      </c>
      <c r="F814" s="523">
        <v>5</v>
      </c>
      <c r="G814" s="524" t="s">
        <v>3663</v>
      </c>
      <c r="H814" s="525" t="s">
        <v>3666</v>
      </c>
      <c r="I814" s="474"/>
      <c r="J814" s="475" t="s">
        <v>4994</v>
      </c>
    </row>
    <row r="815" spans="1:10" ht="14.25" customHeight="1">
      <c r="A815" s="520" t="s">
        <v>1241</v>
      </c>
      <c r="B815" s="521" t="s">
        <v>1242</v>
      </c>
      <c r="C815" s="520" t="s">
        <v>213</v>
      </c>
      <c r="D815" s="472">
        <v>1.1819999999999999</v>
      </c>
      <c r="E815" s="522">
        <v>1.095</v>
      </c>
      <c r="F815" s="523" t="s">
        <v>4166</v>
      </c>
      <c r="G815" s="524" t="s">
        <v>3663</v>
      </c>
      <c r="H815" s="525" t="s">
        <v>3666</v>
      </c>
      <c r="I815" s="474"/>
      <c r="J815" s="475" t="s">
        <v>4995</v>
      </c>
    </row>
    <row r="816" spans="1:10" ht="14.25" customHeight="1">
      <c r="A816" s="520" t="s">
        <v>1243</v>
      </c>
      <c r="B816" s="521" t="s">
        <v>1244</v>
      </c>
      <c r="C816" s="520" t="s">
        <v>213</v>
      </c>
      <c r="D816" s="472">
        <v>1.1819999999999999</v>
      </c>
      <c r="E816" s="522">
        <v>1.095</v>
      </c>
      <c r="F816" s="523" t="s">
        <v>4166</v>
      </c>
      <c r="G816" s="524" t="s">
        <v>3663</v>
      </c>
      <c r="H816" s="525" t="s">
        <v>3666</v>
      </c>
      <c r="I816" s="474"/>
      <c r="J816" s="475" t="s">
        <v>4996</v>
      </c>
    </row>
    <row r="817" spans="1:10" ht="14.25" customHeight="1">
      <c r="A817" s="520" t="s">
        <v>1245</v>
      </c>
      <c r="B817" s="521" t="s">
        <v>1246</v>
      </c>
      <c r="C817" s="520" t="s">
        <v>213</v>
      </c>
      <c r="D817" s="472">
        <v>1.1819999999999999</v>
      </c>
      <c r="E817" s="522">
        <v>1.095</v>
      </c>
      <c r="F817" s="523" t="s">
        <v>4166</v>
      </c>
      <c r="G817" s="524" t="s">
        <v>3663</v>
      </c>
      <c r="H817" s="525" t="s">
        <v>3666</v>
      </c>
      <c r="I817" s="474"/>
      <c r="J817" s="475" t="s">
        <v>4997</v>
      </c>
    </row>
    <row r="818" spans="1:10" ht="14.25" customHeight="1">
      <c r="A818" s="520" t="s">
        <v>1247</v>
      </c>
      <c r="B818" s="521" t="s">
        <v>1248</v>
      </c>
      <c r="C818" s="520" t="s">
        <v>213</v>
      </c>
      <c r="D818" s="472">
        <v>1.1819999999999999</v>
      </c>
      <c r="E818" s="522">
        <v>1.095</v>
      </c>
      <c r="F818" s="523" t="s">
        <v>4166</v>
      </c>
      <c r="G818" s="524" t="s">
        <v>3663</v>
      </c>
      <c r="H818" s="525" t="s">
        <v>3666</v>
      </c>
      <c r="I818" s="474"/>
      <c r="J818" s="475" t="s">
        <v>4998</v>
      </c>
    </row>
    <row r="819" spans="1:10" ht="14.25" customHeight="1">
      <c r="A819" s="520" t="s">
        <v>1249</v>
      </c>
      <c r="B819" s="521" t="s">
        <v>1250</v>
      </c>
      <c r="C819" s="520" t="s">
        <v>213</v>
      </c>
      <c r="D819" s="472">
        <v>18.02</v>
      </c>
      <c r="E819" s="522">
        <v>16.795999999999999</v>
      </c>
      <c r="F819" s="523" t="s">
        <v>4166</v>
      </c>
      <c r="G819" s="524" t="s">
        <v>3663</v>
      </c>
      <c r="H819" s="525" t="s">
        <v>3666</v>
      </c>
      <c r="I819" s="474"/>
      <c r="J819" s="475" t="s">
        <v>4999</v>
      </c>
    </row>
    <row r="820" spans="1:10" ht="14.25" customHeight="1">
      <c r="A820" s="520" t="s">
        <v>1251</v>
      </c>
      <c r="B820" s="521" t="s">
        <v>1252</v>
      </c>
      <c r="C820" s="520" t="s">
        <v>213</v>
      </c>
      <c r="D820" s="472">
        <v>18.02</v>
      </c>
      <c r="E820" s="522">
        <v>16.795999999999999</v>
      </c>
      <c r="F820" s="523" t="s">
        <v>4166</v>
      </c>
      <c r="G820" s="524" t="s">
        <v>3663</v>
      </c>
      <c r="H820" s="525" t="s">
        <v>3666</v>
      </c>
      <c r="I820" s="474"/>
      <c r="J820" s="475" t="s">
        <v>5000</v>
      </c>
    </row>
    <row r="821" spans="1:10" ht="14.25" customHeight="1">
      <c r="A821" s="520" t="s">
        <v>1253</v>
      </c>
      <c r="B821" s="521" t="s">
        <v>1254</v>
      </c>
      <c r="C821" s="520" t="s">
        <v>213</v>
      </c>
      <c r="D821" s="472">
        <v>13.992000000000001</v>
      </c>
      <c r="E821" s="522">
        <v>13.048999999999999</v>
      </c>
      <c r="F821" s="523" t="s">
        <v>4166</v>
      </c>
      <c r="G821" s="524" t="s">
        <v>3663</v>
      </c>
      <c r="H821" s="525" t="s">
        <v>3666</v>
      </c>
      <c r="I821" s="474"/>
      <c r="J821" s="475" t="s">
        <v>5001</v>
      </c>
    </row>
    <row r="822" spans="1:10" ht="14.25" customHeight="1">
      <c r="A822" s="520" t="s">
        <v>1255</v>
      </c>
      <c r="B822" s="521" t="s">
        <v>1256</v>
      </c>
      <c r="C822" s="520" t="s">
        <v>213</v>
      </c>
      <c r="D822" s="472">
        <v>13.992000000000001</v>
      </c>
      <c r="E822" s="522">
        <v>13.048999999999999</v>
      </c>
      <c r="F822" s="523">
        <v>8.58</v>
      </c>
      <c r="G822" s="524" t="s">
        <v>3663</v>
      </c>
      <c r="H822" s="525" t="s">
        <v>3666</v>
      </c>
      <c r="I822" s="474"/>
      <c r="J822" s="475" t="s">
        <v>5002</v>
      </c>
    </row>
    <row r="823" spans="1:10" ht="14.25" customHeight="1">
      <c r="A823" s="520" t="s">
        <v>1257</v>
      </c>
      <c r="B823" s="521" t="s">
        <v>1258</v>
      </c>
      <c r="C823" s="520" t="s">
        <v>213</v>
      </c>
      <c r="D823" s="472">
        <v>13.992000000000001</v>
      </c>
      <c r="E823" s="522">
        <v>13.048999999999999</v>
      </c>
      <c r="F823" s="523">
        <v>8.58</v>
      </c>
      <c r="G823" s="524" t="s">
        <v>3663</v>
      </c>
      <c r="H823" s="525" t="s">
        <v>3666</v>
      </c>
      <c r="I823" s="474"/>
      <c r="J823" s="475" t="s">
        <v>5003</v>
      </c>
    </row>
    <row r="824" spans="1:10" ht="14.25" customHeight="1">
      <c r="A824" s="520" t="s">
        <v>1259</v>
      </c>
      <c r="B824" s="521" t="s">
        <v>1260</v>
      </c>
      <c r="C824" s="520" t="s">
        <v>213</v>
      </c>
      <c r="D824" s="472">
        <v>13.992000000000001</v>
      </c>
      <c r="E824" s="522">
        <v>13.048999999999999</v>
      </c>
      <c r="F824" s="523" t="s">
        <v>4166</v>
      </c>
      <c r="G824" s="524" t="s">
        <v>3663</v>
      </c>
      <c r="H824" s="525" t="s">
        <v>3666</v>
      </c>
      <c r="I824" s="474"/>
      <c r="J824" s="475" t="s">
        <v>5004</v>
      </c>
    </row>
    <row r="825" spans="1:10" ht="14.25" customHeight="1">
      <c r="A825" s="520" t="s">
        <v>1261</v>
      </c>
      <c r="B825" s="521" t="s">
        <v>1262</v>
      </c>
      <c r="C825" s="520" t="s">
        <v>213</v>
      </c>
      <c r="D825" s="472">
        <v>13.992000000000001</v>
      </c>
      <c r="E825" s="522">
        <v>13.048999999999999</v>
      </c>
      <c r="F825" s="523" t="s">
        <v>4166</v>
      </c>
      <c r="G825" s="524" t="s">
        <v>3663</v>
      </c>
      <c r="H825" s="525" t="s">
        <v>3666</v>
      </c>
      <c r="I825" s="474"/>
      <c r="J825" s="475" t="s">
        <v>5005</v>
      </c>
    </row>
    <row r="826" spans="1:10" ht="14.25" customHeight="1">
      <c r="A826" s="520" t="s">
        <v>1263</v>
      </c>
      <c r="B826" s="521" t="s">
        <v>1264</v>
      </c>
      <c r="C826" s="520" t="s">
        <v>213</v>
      </c>
      <c r="D826" s="472">
        <v>13.992000000000001</v>
      </c>
      <c r="E826" s="522">
        <v>13.048999999999999</v>
      </c>
      <c r="F826" s="523">
        <v>8.58</v>
      </c>
      <c r="G826" s="524" t="s">
        <v>3663</v>
      </c>
      <c r="H826" s="525" t="s">
        <v>3666</v>
      </c>
      <c r="I826" s="474"/>
      <c r="J826" s="475" t="s">
        <v>5006</v>
      </c>
    </row>
    <row r="827" spans="1:10" ht="14.25" customHeight="1">
      <c r="A827" s="520" t="s">
        <v>1265</v>
      </c>
      <c r="B827" s="521" t="s">
        <v>1266</v>
      </c>
      <c r="C827" s="520" t="s">
        <v>213</v>
      </c>
      <c r="D827" s="472">
        <v>13.992000000000001</v>
      </c>
      <c r="E827" s="522">
        <v>13.048999999999999</v>
      </c>
      <c r="F827" s="523" t="s">
        <v>4166</v>
      </c>
      <c r="G827" s="524" t="s">
        <v>3663</v>
      </c>
      <c r="H827" s="525" t="s">
        <v>3666</v>
      </c>
      <c r="I827" s="474"/>
      <c r="J827" s="475" t="s">
        <v>5007</v>
      </c>
    </row>
    <row r="828" spans="1:10" ht="14.25" customHeight="1">
      <c r="A828" s="520" t="s">
        <v>1267</v>
      </c>
      <c r="B828" s="521" t="s">
        <v>1268</v>
      </c>
      <c r="C828" s="520" t="s">
        <v>213</v>
      </c>
      <c r="D828" s="472">
        <v>13.992000000000001</v>
      </c>
      <c r="E828" s="522">
        <v>13.048999999999999</v>
      </c>
      <c r="F828" s="523" t="s">
        <v>4166</v>
      </c>
      <c r="G828" s="524" t="s">
        <v>3663</v>
      </c>
      <c r="H828" s="525" t="s">
        <v>3666</v>
      </c>
      <c r="I828" s="474"/>
      <c r="J828" s="475" t="s">
        <v>5008</v>
      </c>
    </row>
    <row r="829" spans="1:10" ht="14.25" customHeight="1">
      <c r="A829" s="520" t="s">
        <v>1269</v>
      </c>
      <c r="B829" s="521" t="s">
        <v>1270</v>
      </c>
      <c r="C829" s="520" t="s">
        <v>213</v>
      </c>
      <c r="D829" s="472">
        <v>13.992000000000001</v>
      </c>
      <c r="E829" s="522">
        <v>13.048999999999999</v>
      </c>
      <c r="F829" s="523" t="s">
        <v>4166</v>
      </c>
      <c r="G829" s="524" t="s">
        <v>3663</v>
      </c>
      <c r="H829" s="525" t="s">
        <v>3666</v>
      </c>
      <c r="I829" s="474"/>
      <c r="J829" s="475" t="s">
        <v>5009</v>
      </c>
    </row>
    <row r="830" spans="1:10" ht="14.25" customHeight="1">
      <c r="A830" s="520" t="s">
        <v>1271</v>
      </c>
      <c r="B830" s="521" t="s">
        <v>1272</v>
      </c>
      <c r="C830" s="520" t="s">
        <v>213</v>
      </c>
      <c r="D830" s="472">
        <v>13.992000000000001</v>
      </c>
      <c r="E830" s="522">
        <v>13.048999999999999</v>
      </c>
      <c r="F830" s="523" t="s">
        <v>4166</v>
      </c>
      <c r="G830" s="524" t="s">
        <v>3663</v>
      </c>
      <c r="H830" s="525" t="s">
        <v>3666</v>
      </c>
      <c r="I830" s="474"/>
      <c r="J830" s="475" t="s">
        <v>5010</v>
      </c>
    </row>
    <row r="831" spans="1:10" ht="14.25" customHeight="1">
      <c r="A831" s="520" t="s">
        <v>1273</v>
      </c>
      <c r="B831" s="521" t="s">
        <v>1274</v>
      </c>
      <c r="C831" s="520" t="s">
        <v>213</v>
      </c>
      <c r="D831" s="472">
        <v>13.992000000000001</v>
      </c>
      <c r="E831" s="522">
        <v>13.048999999999999</v>
      </c>
      <c r="F831" s="523" t="s">
        <v>4166</v>
      </c>
      <c r="G831" s="524" t="s">
        <v>3663</v>
      </c>
      <c r="H831" s="525" t="s">
        <v>3666</v>
      </c>
      <c r="I831" s="474"/>
      <c r="J831" s="475" t="s">
        <v>5011</v>
      </c>
    </row>
    <row r="832" spans="1:10" ht="14.25" customHeight="1">
      <c r="A832" s="520" t="s">
        <v>1275</v>
      </c>
      <c r="B832" s="521" t="s">
        <v>1276</v>
      </c>
      <c r="C832" s="520" t="s">
        <v>213</v>
      </c>
      <c r="D832" s="472">
        <v>13.992000000000001</v>
      </c>
      <c r="E832" s="522">
        <v>13.048999999999999</v>
      </c>
      <c r="F832" s="523" t="s">
        <v>4166</v>
      </c>
      <c r="G832" s="524" t="s">
        <v>3663</v>
      </c>
      <c r="H832" s="525" t="s">
        <v>3666</v>
      </c>
      <c r="I832" s="474"/>
      <c r="J832" s="475" t="s">
        <v>5012</v>
      </c>
    </row>
    <row r="833" spans="1:10" ht="14.25" customHeight="1">
      <c r="A833" s="520" t="s">
        <v>1277</v>
      </c>
      <c r="B833" s="521" t="s">
        <v>1278</v>
      </c>
      <c r="C833" s="520" t="s">
        <v>213</v>
      </c>
      <c r="D833" s="472">
        <v>13.992000000000001</v>
      </c>
      <c r="E833" s="522">
        <v>13.048999999999999</v>
      </c>
      <c r="F833" s="523" t="s">
        <v>4166</v>
      </c>
      <c r="G833" s="524" t="s">
        <v>3663</v>
      </c>
      <c r="H833" s="525" t="s">
        <v>3666</v>
      </c>
      <c r="I833" s="474"/>
      <c r="J833" s="475" t="s">
        <v>5013</v>
      </c>
    </row>
    <row r="834" spans="1:10" ht="14.25" customHeight="1">
      <c r="A834" s="520" t="s">
        <v>1279</v>
      </c>
      <c r="B834" s="521" t="s">
        <v>1280</v>
      </c>
      <c r="C834" s="520" t="s">
        <v>213</v>
      </c>
      <c r="D834" s="472">
        <v>13.992000000000001</v>
      </c>
      <c r="E834" s="522">
        <v>13.048999999999999</v>
      </c>
      <c r="F834" s="523" t="s">
        <v>4166</v>
      </c>
      <c r="G834" s="524" t="s">
        <v>3663</v>
      </c>
      <c r="H834" s="525" t="s">
        <v>3666</v>
      </c>
      <c r="I834" s="474"/>
      <c r="J834" s="475" t="s">
        <v>5014</v>
      </c>
    </row>
    <row r="835" spans="1:10" ht="14.25" customHeight="1">
      <c r="A835" s="520" t="s">
        <v>1281</v>
      </c>
      <c r="B835" s="521" t="s">
        <v>1282</v>
      </c>
      <c r="C835" s="520" t="s">
        <v>213</v>
      </c>
      <c r="D835" s="472">
        <v>13.992000000000001</v>
      </c>
      <c r="E835" s="522">
        <v>13.048999999999999</v>
      </c>
      <c r="F835" s="523" t="s">
        <v>4166</v>
      </c>
      <c r="G835" s="524" t="s">
        <v>3663</v>
      </c>
      <c r="H835" s="525" t="s">
        <v>3666</v>
      </c>
      <c r="I835" s="474"/>
      <c r="J835" s="475" t="s">
        <v>5015</v>
      </c>
    </row>
    <row r="836" spans="1:10" ht="14.25" customHeight="1">
      <c r="A836" s="520" t="s">
        <v>1283</v>
      </c>
      <c r="B836" s="521" t="s">
        <v>1284</v>
      </c>
      <c r="C836" s="520" t="s">
        <v>213</v>
      </c>
      <c r="D836" s="472">
        <v>13.992000000000001</v>
      </c>
      <c r="E836" s="522">
        <v>13.048999999999999</v>
      </c>
      <c r="F836" s="523" t="s">
        <v>4166</v>
      </c>
      <c r="G836" s="524" t="s">
        <v>3663</v>
      </c>
      <c r="H836" s="525" t="s">
        <v>3666</v>
      </c>
      <c r="I836" s="474"/>
      <c r="J836" s="475" t="s">
        <v>5016</v>
      </c>
    </row>
    <row r="837" spans="1:10" ht="14.25" customHeight="1">
      <c r="A837" s="520" t="s">
        <v>1285</v>
      </c>
      <c r="B837" s="521" t="s">
        <v>1286</v>
      </c>
      <c r="C837" s="520" t="s">
        <v>213</v>
      </c>
      <c r="D837" s="472">
        <v>13.992000000000001</v>
      </c>
      <c r="E837" s="522">
        <v>13.048999999999999</v>
      </c>
      <c r="F837" s="523" t="s">
        <v>4166</v>
      </c>
      <c r="G837" s="524" t="s">
        <v>3663</v>
      </c>
      <c r="H837" s="525" t="s">
        <v>3666</v>
      </c>
      <c r="I837" s="474"/>
      <c r="J837" s="475" t="s">
        <v>5017</v>
      </c>
    </row>
    <row r="838" spans="1:10" ht="14.25" customHeight="1">
      <c r="A838" s="520" t="s">
        <v>1287</v>
      </c>
      <c r="B838" s="521" t="s">
        <v>1288</v>
      </c>
      <c r="C838" s="520" t="s">
        <v>213</v>
      </c>
      <c r="D838" s="472">
        <v>13.992000000000001</v>
      </c>
      <c r="E838" s="522">
        <v>13.048999999999999</v>
      </c>
      <c r="F838" s="523" t="s">
        <v>4166</v>
      </c>
      <c r="G838" s="524" t="s">
        <v>3663</v>
      </c>
      <c r="H838" s="525" t="s">
        <v>3666</v>
      </c>
      <c r="I838" s="474"/>
      <c r="J838" s="475" t="s">
        <v>5018</v>
      </c>
    </row>
    <row r="839" spans="1:10" ht="14.25" customHeight="1">
      <c r="A839" s="559" t="s">
        <v>3353</v>
      </c>
      <c r="B839" s="560" t="s">
        <v>3354</v>
      </c>
      <c r="C839" s="559" t="s">
        <v>213</v>
      </c>
      <c r="D839" s="472">
        <v>0.38700000000000001</v>
      </c>
      <c r="E839" s="522">
        <v>0.36199999999999999</v>
      </c>
      <c r="F839" s="523" t="s">
        <v>4166</v>
      </c>
      <c r="G839" s="526" t="s">
        <v>3668</v>
      </c>
      <c r="H839" s="525" t="s">
        <v>3678</v>
      </c>
      <c r="I839" s="474"/>
      <c r="J839" s="475" t="s">
        <v>5019</v>
      </c>
    </row>
    <row r="840" spans="1:10" ht="14.25" customHeight="1">
      <c r="A840" s="520" t="s">
        <v>1289</v>
      </c>
      <c r="B840" s="521" t="s">
        <v>1290</v>
      </c>
      <c r="C840" s="520" t="s">
        <v>213</v>
      </c>
      <c r="D840" s="472">
        <v>1.3220000000000001</v>
      </c>
      <c r="E840" s="522">
        <v>1.224</v>
      </c>
      <c r="F840" s="523" t="s">
        <v>4166</v>
      </c>
      <c r="G840" s="524" t="s">
        <v>3663</v>
      </c>
      <c r="H840" s="525" t="s">
        <v>3666</v>
      </c>
      <c r="I840" s="474"/>
      <c r="J840" s="475" t="s">
        <v>5020</v>
      </c>
    </row>
    <row r="841" spans="1:10" ht="14.25" customHeight="1">
      <c r="A841" s="520" t="s">
        <v>1291</v>
      </c>
      <c r="B841" s="521" t="s">
        <v>1292</v>
      </c>
      <c r="C841" s="520" t="s">
        <v>213</v>
      </c>
      <c r="D841" s="472">
        <v>1.3220000000000001</v>
      </c>
      <c r="E841" s="522">
        <v>1.224</v>
      </c>
      <c r="F841" s="523" t="s">
        <v>4166</v>
      </c>
      <c r="G841" s="524" t="s">
        <v>3663</v>
      </c>
      <c r="H841" s="525" t="s">
        <v>3666</v>
      </c>
      <c r="I841" s="474"/>
      <c r="J841" s="475" t="s">
        <v>5021</v>
      </c>
    </row>
    <row r="842" spans="1:10" ht="14.25" customHeight="1">
      <c r="A842" s="520" t="s">
        <v>1293</v>
      </c>
      <c r="B842" s="521" t="s">
        <v>1294</v>
      </c>
      <c r="C842" s="520" t="s">
        <v>213</v>
      </c>
      <c r="D842" s="472">
        <v>1.3220000000000001</v>
      </c>
      <c r="E842" s="522">
        <v>1.224</v>
      </c>
      <c r="F842" s="523" t="s">
        <v>4166</v>
      </c>
      <c r="G842" s="524" t="s">
        <v>3663</v>
      </c>
      <c r="H842" s="525" t="s">
        <v>3666</v>
      </c>
      <c r="I842" s="474"/>
      <c r="J842" s="475" t="s">
        <v>5022</v>
      </c>
    </row>
    <row r="843" spans="1:10" ht="14.25" customHeight="1">
      <c r="A843" s="520" t="s">
        <v>1295</v>
      </c>
      <c r="B843" s="521" t="s">
        <v>1296</v>
      </c>
      <c r="C843" s="520" t="s">
        <v>213</v>
      </c>
      <c r="D843" s="472">
        <v>1.3220000000000001</v>
      </c>
      <c r="E843" s="522">
        <v>1.224</v>
      </c>
      <c r="F843" s="523" t="s">
        <v>4166</v>
      </c>
      <c r="G843" s="524" t="s">
        <v>3663</v>
      </c>
      <c r="H843" s="525" t="s">
        <v>3666</v>
      </c>
      <c r="I843" s="474"/>
      <c r="J843" s="475" t="s">
        <v>5023</v>
      </c>
    </row>
    <row r="844" spans="1:10" ht="14.25" customHeight="1">
      <c r="A844" s="520" t="s">
        <v>1297</v>
      </c>
      <c r="B844" s="521" t="s">
        <v>1298</v>
      </c>
      <c r="C844" s="520" t="s">
        <v>213</v>
      </c>
      <c r="D844" s="472">
        <v>1.3220000000000001</v>
      </c>
      <c r="E844" s="522">
        <v>1.224</v>
      </c>
      <c r="F844" s="523">
        <v>4.4000000000000004</v>
      </c>
      <c r="G844" s="524" t="s">
        <v>3663</v>
      </c>
      <c r="H844" s="525" t="s">
        <v>3666</v>
      </c>
      <c r="I844" s="474"/>
      <c r="J844" s="475" t="s">
        <v>5024</v>
      </c>
    </row>
    <row r="845" spans="1:10" ht="14.25" customHeight="1">
      <c r="A845" s="520" t="s">
        <v>1299</v>
      </c>
      <c r="B845" s="521" t="s">
        <v>1300</v>
      </c>
      <c r="C845" s="520" t="s">
        <v>213</v>
      </c>
      <c r="D845" s="472">
        <v>1.3220000000000001</v>
      </c>
      <c r="E845" s="522">
        <v>1.224</v>
      </c>
      <c r="F845" s="523" t="s">
        <v>4166</v>
      </c>
      <c r="G845" s="524" t="s">
        <v>3663</v>
      </c>
      <c r="H845" s="525" t="s">
        <v>3666</v>
      </c>
      <c r="I845" s="474"/>
      <c r="J845" s="475" t="s">
        <v>5025</v>
      </c>
    </row>
    <row r="846" spans="1:10" ht="14.25" customHeight="1">
      <c r="A846" s="520" t="s">
        <v>1301</v>
      </c>
      <c r="B846" s="521" t="s">
        <v>1302</v>
      </c>
      <c r="C846" s="520" t="s">
        <v>213</v>
      </c>
      <c r="D846" s="472">
        <v>1.3220000000000001</v>
      </c>
      <c r="E846" s="522">
        <v>1.224</v>
      </c>
      <c r="F846" s="523" t="s">
        <v>4166</v>
      </c>
      <c r="G846" s="524" t="s">
        <v>3663</v>
      </c>
      <c r="H846" s="525" t="s">
        <v>3666</v>
      </c>
      <c r="I846" s="474"/>
      <c r="J846" s="475" t="s">
        <v>5026</v>
      </c>
    </row>
    <row r="847" spans="1:10" ht="14.25" customHeight="1">
      <c r="A847" s="520" t="s">
        <v>1303</v>
      </c>
      <c r="B847" s="521" t="s">
        <v>1304</v>
      </c>
      <c r="C847" s="520" t="s">
        <v>213</v>
      </c>
      <c r="D847" s="472">
        <v>1.3220000000000001</v>
      </c>
      <c r="E847" s="522">
        <v>1.224</v>
      </c>
      <c r="F847" s="523" t="s">
        <v>4166</v>
      </c>
      <c r="G847" s="524" t="s">
        <v>3663</v>
      </c>
      <c r="H847" s="525" t="s">
        <v>3666</v>
      </c>
      <c r="I847" s="474"/>
      <c r="J847" s="475" t="s">
        <v>5027</v>
      </c>
    </row>
    <row r="848" spans="1:10" ht="14.25" customHeight="1">
      <c r="A848" s="520" t="s">
        <v>1305</v>
      </c>
      <c r="B848" s="521" t="s">
        <v>1306</v>
      </c>
      <c r="C848" s="520" t="s">
        <v>213</v>
      </c>
      <c r="D848" s="472">
        <v>1.3220000000000001</v>
      </c>
      <c r="E848" s="522">
        <v>1.224</v>
      </c>
      <c r="F848" s="523" t="s">
        <v>4166</v>
      </c>
      <c r="G848" s="524" t="s">
        <v>3663</v>
      </c>
      <c r="H848" s="525" t="s">
        <v>3666</v>
      </c>
      <c r="I848" s="474"/>
      <c r="J848" s="475" t="s">
        <v>5028</v>
      </c>
    </row>
    <row r="849" spans="1:10" ht="14.25" customHeight="1">
      <c r="A849" s="520" t="s">
        <v>1307</v>
      </c>
      <c r="B849" s="521" t="s">
        <v>1308</v>
      </c>
      <c r="C849" s="520" t="s">
        <v>213</v>
      </c>
      <c r="D849" s="472">
        <v>1.3220000000000001</v>
      </c>
      <c r="E849" s="522">
        <v>1.224</v>
      </c>
      <c r="F849" s="523">
        <v>5.08</v>
      </c>
      <c r="G849" s="524" t="s">
        <v>3663</v>
      </c>
      <c r="H849" s="525" t="s">
        <v>3666</v>
      </c>
      <c r="I849" s="474"/>
      <c r="J849" s="475" t="s">
        <v>5029</v>
      </c>
    </row>
    <row r="850" spans="1:10" ht="14.25" customHeight="1">
      <c r="A850" s="520" t="s">
        <v>1309</v>
      </c>
      <c r="B850" s="521" t="s">
        <v>1310</v>
      </c>
      <c r="C850" s="520" t="s">
        <v>213</v>
      </c>
      <c r="D850" s="472">
        <v>1.3220000000000001</v>
      </c>
      <c r="E850" s="522">
        <v>1.224</v>
      </c>
      <c r="F850" s="523">
        <v>5.08</v>
      </c>
      <c r="G850" s="524" t="s">
        <v>3663</v>
      </c>
      <c r="H850" s="525" t="s">
        <v>3666</v>
      </c>
      <c r="I850" s="474"/>
      <c r="J850" s="475" t="s">
        <v>5030</v>
      </c>
    </row>
    <row r="851" spans="1:10" ht="14.25" customHeight="1">
      <c r="A851" s="520" t="s">
        <v>1311</v>
      </c>
      <c r="B851" s="521" t="s">
        <v>1312</v>
      </c>
      <c r="C851" s="520" t="s">
        <v>213</v>
      </c>
      <c r="D851" s="472">
        <v>1.3220000000000001</v>
      </c>
      <c r="E851" s="522">
        <v>1.224</v>
      </c>
      <c r="F851" s="523">
        <v>5.08</v>
      </c>
      <c r="G851" s="524" t="s">
        <v>3663</v>
      </c>
      <c r="H851" s="525" t="s">
        <v>3666</v>
      </c>
      <c r="I851" s="474"/>
      <c r="J851" s="475" t="s">
        <v>5031</v>
      </c>
    </row>
    <row r="852" spans="1:10" ht="14.25" customHeight="1">
      <c r="A852" s="520" t="s">
        <v>1313</v>
      </c>
      <c r="B852" s="521" t="s">
        <v>1314</v>
      </c>
      <c r="C852" s="520" t="s">
        <v>213</v>
      </c>
      <c r="D852" s="472">
        <v>1.3220000000000001</v>
      </c>
      <c r="E852" s="522">
        <v>1.224</v>
      </c>
      <c r="F852" s="523">
        <v>5.08</v>
      </c>
      <c r="G852" s="524" t="s">
        <v>3663</v>
      </c>
      <c r="H852" s="525" t="s">
        <v>3666</v>
      </c>
      <c r="I852" s="474"/>
      <c r="J852" s="475" t="s">
        <v>5032</v>
      </c>
    </row>
    <row r="853" spans="1:10" ht="14.25" customHeight="1">
      <c r="A853" s="520" t="s">
        <v>1315</v>
      </c>
      <c r="B853" s="521" t="s">
        <v>1316</v>
      </c>
      <c r="C853" s="520" t="s">
        <v>213</v>
      </c>
      <c r="D853" s="472">
        <v>1.3220000000000001</v>
      </c>
      <c r="E853" s="522">
        <v>1.224</v>
      </c>
      <c r="F853" s="523">
        <v>5.08</v>
      </c>
      <c r="G853" s="524" t="s">
        <v>3663</v>
      </c>
      <c r="H853" s="525" t="s">
        <v>3666</v>
      </c>
      <c r="I853" s="474"/>
      <c r="J853" s="475" t="s">
        <v>5033</v>
      </c>
    </row>
    <row r="854" spans="1:10" ht="14.25" customHeight="1">
      <c r="A854" s="520" t="s">
        <v>1317</v>
      </c>
      <c r="B854" s="521" t="s">
        <v>3909</v>
      </c>
      <c r="C854" s="520" t="s">
        <v>213</v>
      </c>
      <c r="D854" s="472">
        <v>1.7649999999999999</v>
      </c>
      <c r="E854" s="522">
        <v>1.6619999999999999</v>
      </c>
      <c r="F854" s="523">
        <v>67.8</v>
      </c>
      <c r="G854" s="524" t="s">
        <v>3663</v>
      </c>
      <c r="H854" s="525" t="s">
        <v>3666</v>
      </c>
      <c r="I854" s="474"/>
      <c r="J854" s="475" t="s">
        <v>5034</v>
      </c>
    </row>
    <row r="855" spans="1:10" ht="14.25" customHeight="1">
      <c r="A855" s="520" t="s">
        <v>1318</v>
      </c>
      <c r="B855" s="521" t="s">
        <v>1319</v>
      </c>
      <c r="C855" s="520" t="s">
        <v>213</v>
      </c>
      <c r="D855" s="472">
        <v>4.0839999999999996</v>
      </c>
      <c r="E855" s="522">
        <v>3.8439999999999999</v>
      </c>
      <c r="F855" s="523" t="s">
        <v>4166</v>
      </c>
      <c r="G855" s="524" t="s">
        <v>3663</v>
      </c>
      <c r="H855" s="525" t="s">
        <v>3666</v>
      </c>
      <c r="I855" s="474"/>
      <c r="J855" s="475" t="s">
        <v>5035</v>
      </c>
    </row>
    <row r="856" spans="1:10" ht="14.25" customHeight="1">
      <c r="A856" s="520" t="s">
        <v>1320</v>
      </c>
      <c r="B856" s="521" t="s">
        <v>1321</v>
      </c>
      <c r="C856" s="520" t="s">
        <v>213</v>
      </c>
      <c r="D856" s="472">
        <v>1.669</v>
      </c>
      <c r="E856" s="522">
        <v>1.5529999999999999</v>
      </c>
      <c r="F856" s="523" t="s">
        <v>4166</v>
      </c>
      <c r="G856" s="524" t="s">
        <v>3663</v>
      </c>
      <c r="H856" s="525" t="s">
        <v>3666</v>
      </c>
      <c r="I856" s="474"/>
      <c r="J856" s="475" t="s">
        <v>5036</v>
      </c>
    </row>
    <row r="857" spans="1:10" ht="14.25" customHeight="1">
      <c r="A857" s="520" t="s">
        <v>1322</v>
      </c>
      <c r="B857" s="521" t="s">
        <v>1323</v>
      </c>
      <c r="C857" s="520" t="s">
        <v>213</v>
      </c>
      <c r="D857" s="472">
        <v>1.669</v>
      </c>
      <c r="E857" s="522">
        <v>1.556</v>
      </c>
      <c r="F857" s="523" t="s">
        <v>4166</v>
      </c>
      <c r="G857" s="524" t="s">
        <v>3663</v>
      </c>
      <c r="H857" s="525" t="s">
        <v>3666</v>
      </c>
      <c r="I857" s="474"/>
      <c r="J857" s="475" t="s">
        <v>5037</v>
      </c>
    </row>
    <row r="858" spans="1:10" ht="14.25" customHeight="1">
      <c r="A858" s="520" t="s">
        <v>1324</v>
      </c>
      <c r="B858" s="521" t="s">
        <v>1325</v>
      </c>
      <c r="C858" s="520" t="s">
        <v>213</v>
      </c>
      <c r="D858" s="472">
        <v>1.669</v>
      </c>
      <c r="E858" s="522">
        <v>1.556</v>
      </c>
      <c r="F858" s="523" t="s">
        <v>4166</v>
      </c>
      <c r="G858" s="524" t="s">
        <v>3663</v>
      </c>
      <c r="H858" s="525" t="s">
        <v>3666</v>
      </c>
      <c r="I858" s="474"/>
      <c r="J858" s="475" t="s">
        <v>5038</v>
      </c>
    </row>
    <row r="859" spans="1:10" ht="14.25" customHeight="1">
      <c r="A859" s="520" t="s">
        <v>1326</v>
      </c>
      <c r="B859" s="521" t="s">
        <v>1327</v>
      </c>
      <c r="C859" s="520" t="s">
        <v>213</v>
      </c>
      <c r="D859" s="472">
        <v>1.669</v>
      </c>
      <c r="E859" s="522">
        <v>1.556</v>
      </c>
      <c r="F859" s="523" t="s">
        <v>4166</v>
      </c>
      <c r="G859" s="524" t="s">
        <v>3663</v>
      </c>
      <c r="H859" s="525" t="s">
        <v>3666</v>
      </c>
      <c r="I859" s="474"/>
      <c r="J859" s="475" t="s">
        <v>5039</v>
      </c>
    </row>
    <row r="860" spans="1:10" ht="14.25" customHeight="1">
      <c r="A860" s="520" t="s">
        <v>1328</v>
      </c>
      <c r="B860" s="521" t="s">
        <v>1329</v>
      </c>
      <c r="C860" s="520" t="s">
        <v>213</v>
      </c>
      <c r="D860" s="472">
        <v>1.669</v>
      </c>
      <c r="E860" s="522">
        <v>1.556</v>
      </c>
      <c r="F860" s="523" t="s">
        <v>4166</v>
      </c>
      <c r="G860" s="524" t="s">
        <v>3663</v>
      </c>
      <c r="H860" s="525" t="s">
        <v>3666</v>
      </c>
      <c r="I860" s="474"/>
      <c r="J860" s="475" t="s">
        <v>5040</v>
      </c>
    </row>
    <row r="861" spans="1:10" ht="14.25" customHeight="1">
      <c r="A861" s="520" t="s">
        <v>1330</v>
      </c>
      <c r="B861" s="521" t="s">
        <v>3910</v>
      </c>
      <c r="C861" s="520" t="s">
        <v>213</v>
      </c>
      <c r="D861" s="472">
        <v>2.8170000000000002</v>
      </c>
      <c r="E861" s="522">
        <v>3.1469999999999998</v>
      </c>
      <c r="F861" s="523">
        <v>7.8</v>
      </c>
      <c r="G861" s="524" t="s">
        <v>3663</v>
      </c>
      <c r="H861" s="525" t="s">
        <v>3666</v>
      </c>
      <c r="I861" s="474"/>
      <c r="J861" s="475" t="s">
        <v>5041</v>
      </c>
    </row>
    <row r="862" spans="1:10" ht="14.25" customHeight="1">
      <c r="A862" s="520" t="s">
        <v>1331</v>
      </c>
      <c r="B862" s="521" t="s">
        <v>1332</v>
      </c>
      <c r="C862" s="520" t="s">
        <v>213</v>
      </c>
      <c r="D862" s="472">
        <v>5.077</v>
      </c>
      <c r="E862" s="522">
        <v>5.2560000000000002</v>
      </c>
      <c r="F862" s="523" t="s">
        <v>4166</v>
      </c>
      <c r="G862" s="524" t="s">
        <v>3663</v>
      </c>
      <c r="H862" s="525" t="s">
        <v>3666</v>
      </c>
      <c r="I862" s="474"/>
      <c r="J862" s="475" t="s">
        <v>5042</v>
      </c>
    </row>
    <row r="863" spans="1:10" ht="14.25" customHeight="1">
      <c r="A863" s="520" t="s">
        <v>1333</v>
      </c>
      <c r="B863" s="521" t="s">
        <v>1334</v>
      </c>
      <c r="C863" s="520" t="s">
        <v>213</v>
      </c>
      <c r="D863" s="472">
        <v>3.887</v>
      </c>
      <c r="E863" s="522">
        <v>3.6219999999999999</v>
      </c>
      <c r="F863" s="523" t="s">
        <v>4166</v>
      </c>
      <c r="G863" s="524" t="s">
        <v>3663</v>
      </c>
      <c r="H863" s="525" t="s">
        <v>3666</v>
      </c>
      <c r="I863" s="474"/>
      <c r="J863" s="475" t="s">
        <v>5043</v>
      </c>
    </row>
    <row r="864" spans="1:10" ht="14.25" customHeight="1">
      <c r="A864" s="520" t="s">
        <v>1335</v>
      </c>
      <c r="B864" s="521" t="s">
        <v>1336</v>
      </c>
      <c r="C864" s="520" t="s">
        <v>213</v>
      </c>
      <c r="D864" s="472">
        <v>3.887</v>
      </c>
      <c r="E864" s="522">
        <v>3.6219999999999999</v>
      </c>
      <c r="F864" s="523" t="s">
        <v>4166</v>
      </c>
      <c r="G864" s="524" t="s">
        <v>3663</v>
      </c>
      <c r="H864" s="525" t="s">
        <v>3666</v>
      </c>
      <c r="I864" s="474"/>
      <c r="J864" s="475" t="s">
        <v>5044</v>
      </c>
    </row>
    <row r="865" spans="1:10" ht="14.25" customHeight="1">
      <c r="A865" s="520" t="s">
        <v>1337</v>
      </c>
      <c r="B865" s="521" t="s">
        <v>1338</v>
      </c>
      <c r="C865" s="520" t="s">
        <v>213</v>
      </c>
      <c r="D865" s="472">
        <v>3.887</v>
      </c>
      <c r="E865" s="522">
        <v>3.6219999999999999</v>
      </c>
      <c r="F865" s="523" t="s">
        <v>4166</v>
      </c>
      <c r="G865" s="524" t="s">
        <v>3663</v>
      </c>
      <c r="H865" s="525" t="s">
        <v>3666</v>
      </c>
      <c r="I865" s="474"/>
      <c r="J865" s="475" t="s">
        <v>5045</v>
      </c>
    </row>
    <row r="866" spans="1:10" ht="14.25" customHeight="1">
      <c r="A866" s="520" t="s">
        <v>1339</v>
      </c>
      <c r="B866" s="521" t="s">
        <v>1340</v>
      </c>
      <c r="C866" s="520" t="s">
        <v>213</v>
      </c>
      <c r="D866" s="472">
        <v>3.887</v>
      </c>
      <c r="E866" s="522">
        <v>3.6219999999999999</v>
      </c>
      <c r="F866" s="523" t="s">
        <v>4166</v>
      </c>
      <c r="G866" s="524" t="s">
        <v>3663</v>
      </c>
      <c r="H866" s="525" t="s">
        <v>3666</v>
      </c>
      <c r="I866" s="474"/>
      <c r="J866" s="475" t="s">
        <v>5046</v>
      </c>
    </row>
    <row r="867" spans="1:10" ht="14.25" customHeight="1">
      <c r="A867" s="520" t="s">
        <v>1341</v>
      </c>
      <c r="B867" s="521" t="s">
        <v>1342</v>
      </c>
      <c r="C867" s="520" t="s">
        <v>213</v>
      </c>
      <c r="D867" s="472">
        <v>3.887</v>
      </c>
      <c r="E867" s="522">
        <v>3.6219999999999999</v>
      </c>
      <c r="F867" s="523" t="s">
        <v>4166</v>
      </c>
      <c r="G867" s="524" t="s">
        <v>3663</v>
      </c>
      <c r="H867" s="525" t="s">
        <v>3666</v>
      </c>
      <c r="I867" s="474"/>
      <c r="J867" s="475" t="s">
        <v>5047</v>
      </c>
    </row>
    <row r="868" spans="1:10" ht="14.25" customHeight="1">
      <c r="A868" s="520" t="s">
        <v>1343</v>
      </c>
      <c r="B868" s="521" t="s">
        <v>3911</v>
      </c>
      <c r="C868" s="520" t="s">
        <v>213</v>
      </c>
      <c r="D868" s="472">
        <v>5.0389999999999997</v>
      </c>
      <c r="E868" s="522">
        <v>4.367</v>
      </c>
      <c r="F868" s="523" t="s">
        <v>4166</v>
      </c>
      <c r="G868" s="524" t="s">
        <v>3663</v>
      </c>
      <c r="H868" s="525" t="s">
        <v>3666</v>
      </c>
      <c r="I868" s="474"/>
      <c r="J868" s="475" t="s">
        <v>5048</v>
      </c>
    </row>
    <row r="869" spans="1:10" ht="14.25" customHeight="1">
      <c r="A869" s="520" t="s">
        <v>1344</v>
      </c>
      <c r="B869" s="521" t="s">
        <v>1345</v>
      </c>
      <c r="C869" s="520" t="s">
        <v>213</v>
      </c>
      <c r="D869" s="472">
        <v>7.2949999999999999</v>
      </c>
      <c r="E869" s="522">
        <v>6.4770000000000003</v>
      </c>
      <c r="F869" s="523" t="s">
        <v>4166</v>
      </c>
      <c r="G869" s="524" t="s">
        <v>3663</v>
      </c>
      <c r="H869" s="525" t="s">
        <v>3666</v>
      </c>
      <c r="I869" s="474"/>
      <c r="J869" s="475" t="s">
        <v>5049</v>
      </c>
    </row>
    <row r="870" spans="1:10" ht="14.25" customHeight="1">
      <c r="A870" s="520" t="s">
        <v>1346</v>
      </c>
      <c r="B870" s="521" t="s">
        <v>1347</v>
      </c>
      <c r="C870" s="520" t="s">
        <v>213</v>
      </c>
      <c r="D870" s="472">
        <v>1.3220000000000001</v>
      </c>
      <c r="E870" s="522">
        <v>1.2310000000000001</v>
      </c>
      <c r="F870" s="523" t="s">
        <v>4166</v>
      </c>
      <c r="G870" s="524" t="s">
        <v>3663</v>
      </c>
      <c r="H870" s="525" t="s">
        <v>3666</v>
      </c>
      <c r="I870" s="474"/>
      <c r="J870" s="475" t="s">
        <v>5050</v>
      </c>
    </row>
    <row r="871" spans="1:10" ht="14.25" customHeight="1">
      <c r="A871" s="520" t="s">
        <v>1348</v>
      </c>
      <c r="B871" s="521" t="s">
        <v>1349</v>
      </c>
      <c r="C871" s="520" t="s">
        <v>213</v>
      </c>
      <c r="D871" s="472">
        <v>1.3220000000000001</v>
      </c>
      <c r="E871" s="522">
        <v>1.2310000000000001</v>
      </c>
      <c r="F871" s="523" t="s">
        <v>4166</v>
      </c>
      <c r="G871" s="524" t="s">
        <v>3663</v>
      </c>
      <c r="H871" s="525" t="s">
        <v>3666</v>
      </c>
      <c r="I871" s="474"/>
      <c r="J871" s="475" t="s">
        <v>5051</v>
      </c>
    </row>
    <row r="872" spans="1:10" ht="14.25" customHeight="1">
      <c r="A872" s="520" t="s">
        <v>1350</v>
      </c>
      <c r="B872" s="521" t="s">
        <v>1351</v>
      </c>
      <c r="C872" s="520" t="s">
        <v>213</v>
      </c>
      <c r="D872" s="472">
        <v>1.3220000000000001</v>
      </c>
      <c r="E872" s="522">
        <v>1.2310000000000001</v>
      </c>
      <c r="F872" s="523" t="s">
        <v>4166</v>
      </c>
      <c r="G872" s="524" t="s">
        <v>3663</v>
      </c>
      <c r="H872" s="525" t="s">
        <v>3666</v>
      </c>
      <c r="I872" s="474"/>
      <c r="J872" s="475" t="s">
        <v>5052</v>
      </c>
    </row>
    <row r="873" spans="1:10" ht="14.25" customHeight="1">
      <c r="A873" s="520" t="s">
        <v>1352</v>
      </c>
      <c r="B873" s="521" t="s">
        <v>1353</v>
      </c>
      <c r="C873" s="520" t="s">
        <v>213</v>
      </c>
      <c r="D873" s="472">
        <v>1.3220000000000001</v>
      </c>
      <c r="E873" s="522">
        <v>1.2310000000000001</v>
      </c>
      <c r="F873" s="523" t="s">
        <v>4166</v>
      </c>
      <c r="G873" s="524" t="s">
        <v>3663</v>
      </c>
      <c r="H873" s="525" t="s">
        <v>3666</v>
      </c>
      <c r="I873" s="474"/>
      <c r="J873" s="475" t="s">
        <v>5053</v>
      </c>
    </row>
    <row r="874" spans="1:10" ht="14.25" customHeight="1">
      <c r="A874" s="520" t="s">
        <v>1354</v>
      </c>
      <c r="B874" s="521" t="s">
        <v>1355</v>
      </c>
      <c r="C874" s="520" t="s">
        <v>213</v>
      </c>
      <c r="D874" s="472">
        <v>1.3220000000000001</v>
      </c>
      <c r="E874" s="522">
        <v>1.224</v>
      </c>
      <c r="F874" s="523">
        <v>5.4</v>
      </c>
      <c r="G874" s="524" t="s">
        <v>3663</v>
      </c>
      <c r="H874" s="525" t="s">
        <v>3666</v>
      </c>
      <c r="I874" s="474"/>
      <c r="J874" s="475" t="s">
        <v>5054</v>
      </c>
    </row>
    <row r="875" spans="1:10" ht="14.25" customHeight="1">
      <c r="A875" s="520" t="s">
        <v>1356</v>
      </c>
      <c r="B875" s="521" t="s">
        <v>1357</v>
      </c>
      <c r="C875" s="520" t="s">
        <v>213</v>
      </c>
      <c r="D875" s="472">
        <v>1.3220000000000001</v>
      </c>
      <c r="E875" s="522">
        <v>1.2350000000000001</v>
      </c>
      <c r="F875" s="523" t="s">
        <v>4166</v>
      </c>
      <c r="G875" s="524" t="s">
        <v>3663</v>
      </c>
      <c r="H875" s="525" t="s">
        <v>3666</v>
      </c>
      <c r="I875" s="474"/>
      <c r="J875" s="475" t="s">
        <v>5055</v>
      </c>
    </row>
    <row r="876" spans="1:10" ht="14.25" customHeight="1">
      <c r="A876" s="520" t="s">
        <v>1358</v>
      </c>
      <c r="B876" s="521" t="s">
        <v>1359</v>
      </c>
      <c r="C876" s="520" t="s">
        <v>213</v>
      </c>
      <c r="D876" s="472">
        <v>1.3220000000000001</v>
      </c>
      <c r="E876" s="522">
        <v>1.2330000000000001</v>
      </c>
      <c r="F876" s="523" t="s">
        <v>4166</v>
      </c>
      <c r="G876" s="524" t="s">
        <v>3663</v>
      </c>
      <c r="H876" s="525" t="s">
        <v>3666</v>
      </c>
      <c r="I876" s="474"/>
      <c r="J876" s="475" t="s">
        <v>5056</v>
      </c>
    </row>
    <row r="877" spans="1:10" ht="14.25" customHeight="1">
      <c r="A877" s="520" t="s">
        <v>1360</v>
      </c>
      <c r="B877" s="521" t="s">
        <v>1361</v>
      </c>
      <c r="C877" s="520" t="s">
        <v>213</v>
      </c>
      <c r="D877" s="472">
        <v>1.3220000000000001</v>
      </c>
      <c r="E877" s="522">
        <v>1.2330000000000001</v>
      </c>
      <c r="F877" s="523" t="s">
        <v>4166</v>
      </c>
      <c r="G877" s="524" t="s">
        <v>3663</v>
      </c>
      <c r="H877" s="525" t="s">
        <v>3666</v>
      </c>
      <c r="I877" s="474"/>
      <c r="J877" s="475" t="s">
        <v>5057</v>
      </c>
    </row>
    <row r="878" spans="1:10" ht="14.25" customHeight="1">
      <c r="A878" s="520" t="s">
        <v>1362</v>
      </c>
      <c r="B878" s="521" t="s">
        <v>1363</v>
      </c>
      <c r="C878" s="520" t="s">
        <v>213</v>
      </c>
      <c r="D878" s="472">
        <v>1.3220000000000001</v>
      </c>
      <c r="E878" s="522">
        <v>1.2330000000000001</v>
      </c>
      <c r="F878" s="523" t="s">
        <v>4166</v>
      </c>
      <c r="G878" s="524" t="s">
        <v>3663</v>
      </c>
      <c r="H878" s="525" t="s">
        <v>3666</v>
      </c>
      <c r="I878" s="474"/>
      <c r="J878" s="475" t="s">
        <v>5058</v>
      </c>
    </row>
    <row r="879" spans="1:10" ht="14.25" customHeight="1">
      <c r="A879" s="520" t="s">
        <v>1364</v>
      </c>
      <c r="B879" s="521" t="s">
        <v>1365</v>
      </c>
      <c r="C879" s="520" t="s">
        <v>213</v>
      </c>
      <c r="D879" s="472">
        <v>1.3220000000000001</v>
      </c>
      <c r="E879" s="522">
        <v>1.2330000000000001</v>
      </c>
      <c r="F879" s="523">
        <v>5.4</v>
      </c>
      <c r="G879" s="524" t="s">
        <v>3663</v>
      </c>
      <c r="H879" s="525" t="s">
        <v>3666</v>
      </c>
      <c r="I879" s="474"/>
      <c r="J879" s="475" t="s">
        <v>5059</v>
      </c>
    </row>
    <row r="880" spans="1:10" ht="14.25" customHeight="1">
      <c r="A880" s="520" t="s">
        <v>1366</v>
      </c>
      <c r="B880" s="521" t="s">
        <v>1367</v>
      </c>
      <c r="C880" s="520" t="s">
        <v>213</v>
      </c>
      <c r="D880" s="472">
        <v>1.669</v>
      </c>
      <c r="E880" s="522">
        <v>1.556</v>
      </c>
      <c r="F880" s="523" t="s">
        <v>4166</v>
      </c>
      <c r="G880" s="524" t="s">
        <v>3663</v>
      </c>
      <c r="H880" s="525" t="s">
        <v>3666</v>
      </c>
      <c r="I880" s="474"/>
      <c r="J880" s="475" t="s">
        <v>5060</v>
      </c>
    </row>
    <row r="881" spans="1:10" ht="14.25" customHeight="1">
      <c r="A881" s="520" t="s">
        <v>1368</v>
      </c>
      <c r="B881" s="521" t="s">
        <v>1369</v>
      </c>
      <c r="C881" s="520" t="s">
        <v>213</v>
      </c>
      <c r="D881" s="472">
        <v>1.669</v>
      </c>
      <c r="E881" s="522">
        <v>1.556</v>
      </c>
      <c r="F881" s="523" t="s">
        <v>4166</v>
      </c>
      <c r="G881" s="524" t="s">
        <v>3663</v>
      </c>
      <c r="H881" s="525" t="s">
        <v>3666</v>
      </c>
      <c r="I881" s="474"/>
      <c r="J881" s="475" t="s">
        <v>5061</v>
      </c>
    </row>
    <row r="882" spans="1:10" ht="14.25" customHeight="1">
      <c r="A882" s="520" t="s">
        <v>1370</v>
      </c>
      <c r="B882" s="521" t="s">
        <v>1371</v>
      </c>
      <c r="C882" s="520" t="s">
        <v>213</v>
      </c>
      <c r="D882" s="472">
        <v>1.669</v>
      </c>
      <c r="E882" s="522">
        <v>1.556</v>
      </c>
      <c r="F882" s="523" t="s">
        <v>4166</v>
      </c>
      <c r="G882" s="524" t="s">
        <v>3663</v>
      </c>
      <c r="H882" s="525" t="s">
        <v>3666</v>
      </c>
      <c r="I882" s="474"/>
      <c r="J882" s="475" t="s">
        <v>5062</v>
      </c>
    </row>
    <row r="883" spans="1:10" ht="14.25" customHeight="1">
      <c r="A883" s="520" t="s">
        <v>1372</v>
      </c>
      <c r="B883" s="521" t="s">
        <v>1373</v>
      </c>
      <c r="C883" s="520" t="s">
        <v>213</v>
      </c>
      <c r="D883" s="472">
        <v>1.669</v>
      </c>
      <c r="E883" s="522">
        <v>1.556</v>
      </c>
      <c r="F883" s="523" t="s">
        <v>4166</v>
      </c>
      <c r="G883" s="524" t="s">
        <v>3663</v>
      </c>
      <c r="H883" s="525" t="s">
        <v>3666</v>
      </c>
      <c r="I883" s="474"/>
      <c r="J883" s="475" t="s">
        <v>5063</v>
      </c>
    </row>
    <row r="884" spans="1:10" ht="14.25" customHeight="1">
      <c r="A884" s="520" t="s">
        <v>1374</v>
      </c>
      <c r="B884" s="521" t="s">
        <v>1375</v>
      </c>
      <c r="C884" s="520" t="s">
        <v>213</v>
      </c>
      <c r="D884" s="472">
        <v>1.669</v>
      </c>
      <c r="E884" s="522">
        <v>1.5529999999999999</v>
      </c>
      <c r="F884" s="523" t="s">
        <v>4166</v>
      </c>
      <c r="G884" s="524" t="s">
        <v>3663</v>
      </c>
      <c r="H884" s="525" t="s">
        <v>3666</v>
      </c>
      <c r="I884" s="474"/>
      <c r="J884" s="475" t="s">
        <v>5064</v>
      </c>
    </row>
    <row r="885" spans="1:10" ht="14.25" customHeight="1">
      <c r="A885" s="520" t="s">
        <v>1376</v>
      </c>
      <c r="B885" s="521" t="s">
        <v>3912</v>
      </c>
      <c r="C885" s="520" t="s">
        <v>213</v>
      </c>
      <c r="D885" s="472">
        <v>2.8170000000000002</v>
      </c>
      <c r="E885" s="522">
        <v>2.6</v>
      </c>
      <c r="F885" s="523" t="s">
        <v>4166</v>
      </c>
      <c r="G885" s="524" t="s">
        <v>3663</v>
      </c>
      <c r="H885" s="525" t="s">
        <v>3666</v>
      </c>
      <c r="I885" s="474"/>
      <c r="J885" s="475" t="s">
        <v>5065</v>
      </c>
    </row>
    <row r="886" spans="1:10" ht="14.25" customHeight="1">
      <c r="A886" s="520" t="s">
        <v>1377</v>
      </c>
      <c r="B886" s="521" t="s">
        <v>1378</v>
      </c>
      <c r="C886" s="520" t="s">
        <v>213</v>
      </c>
      <c r="D886" s="472">
        <v>5.077</v>
      </c>
      <c r="E886" s="522">
        <v>4.7069999999999999</v>
      </c>
      <c r="F886" s="523" t="s">
        <v>4166</v>
      </c>
      <c r="G886" s="524" t="s">
        <v>3663</v>
      </c>
      <c r="H886" s="525" t="s">
        <v>3666</v>
      </c>
      <c r="I886" s="474"/>
      <c r="J886" s="475" t="s">
        <v>5066</v>
      </c>
    </row>
    <row r="887" spans="1:10" ht="14.25" customHeight="1">
      <c r="A887" s="520" t="s">
        <v>1379</v>
      </c>
      <c r="B887" s="521" t="s">
        <v>1380</v>
      </c>
      <c r="C887" s="520" t="s">
        <v>213</v>
      </c>
      <c r="D887" s="472">
        <v>1.3220000000000001</v>
      </c>
      <c r="E887" s="522">
        <v>1.2350000000000001</v>
      </c>
      <c r="F887" s="523" t="s">
        <v>4166</v>
      </c>
      <c r="G887" s="524" t="s">
        <v>3663</v>
      </c>
      <c r="H887" s="525" t="s">
        <v>3666</v>
      </c>
      <c r="I887" s="474"/>
      <c r="J887" s="475" t="s">
        <v>5067</v>
      </c>
    </row>
    <row r="888" spans="1:10" ht="14.25" customHeight="1">
      <c r="A888" s="520" t="s">
        <v>1381</v>
      </c>
      <c r="B888" s="521" t="s">
        <v>1382</v>
      </c>
      <c r="C888" s="520" t="s">
        <v>213</v>
      </c>
      <c r="D888" s="472">
        <v>1.3220000000000001</v>
      </c>
      <c r="E888" s="522">
        <v>1.2330000000000001</v>
      </c>
      <c r="F888" s="523" t="s">
        <v>4166</v>
      </c>
      <c r="G888" s="524" t="s">
        <v>3663</v>
      </c>
      <c r="H888" s="525" t="s">
        <v>3666</v>
      </c>
      <c r="I888" s="474"/>
      <c r="J888" s="475" t="s">
        <v>5068</v>
      </c>
    </row>
    <row r="889" spans="1:10" ht="14.25" customHeight="1">
      <c r="A889" s="520" t="s">
        <v>1383</v>
      </c>
      <c r="B889" s="521" t="s">
        <v>1384</v>
      </c>
      <c r="C889" s="520" t="s">
        <v>213</v>
      </c>
      <c r="D889" s="472">
        <v>1.3220000000000001</v>
      </c>
      <c r="E889" s="522">
        <v>1.2330000000000001</v>
      </c>
      <c r="F889" s="523" t="s">
        <v>4166</v>
      </c>
      <c r="G889" s="524" t="s">
        <v>3663</v>
      </c>
      <c r="H889" s="525" t="s">
        <v>3666</v>
      </c>
      <c r="I889" s="474"/>
      <c r="J889" s="475" t="s">
        <v>5069</v>
      </c>
    </row>
    <row r="890" spans="1:10" ht="14.25" customHeight="1">
      <c r="A890" s="520" t="s">
        <v>1385</v>
      </c>
      <c r="B890" s="521" t="s">
        <v>1386</v>
      </c>
      <c r="C890" s="520" t="s">
        <v>213</v>
      </c>
      <c r="D890" s="472">
        <v>1.3220000000000001</v>
      </c>
      <c r="E890" s="522">
        <v>1.2330000000000001</v>
      </c>
      <c r="F890" s="523" t="s">
        <v>4166</v>
      </c>
      <c r="G890" s="524" t="s">
        <v>3663</v>
      </c>
      <c r="H890" s="525" t="s">
        <v>3666</v>
      </c>
      <c r="I890" s="474"/>
      <c r="J890" s="475" t="s">
        <v>5070</v>
      </c>
    </row>
    <row r="891" spans="1:10" ht="14.25" customHeight="1">
      <c r="A891" s="520" t="s">
        <v>1387</v>
      </c>
      <c r="B891" s="521" t="s">
        <v>1388</v>
      </c>
      <c r="C891" s="520" t="s">
        <v>213</v>
      </c>
      <c r="D891" s="472">
        <v>1.3220000000000001</v>
      </c>
      <c r="E891" s="522">
        <v>1.2330000000000001</v>
      </c>
      <c r="F891" s="523" t="s">
        <v>4166</v>
      </c>
      <c r="G891" s="524" t="s">
        <v>3663</v>
      </c>
      <c r="H891" s="525" t="s">
        <v>3666</v>
      </c>
      <c r="I891" s="474"/>
      <c r="J891" s="475" t="s">
        <v>5071</v>
      </c>
    </row>
    <row r="892" spans="1:10" ht="14.25" customHeight="1">
      <c r="A892" s="520" t="s">
        <v>1389</v>
      </c>
      <c r="B892" s="521" t="s">
        <v>1390</v>
      </c>
      <c r="C892" s="520" t="s">
        <v>213</v>
      </c>
      <c r="D892" s="472">
        <v>20.696000000000002</v>
      </c>
      <c r="E892" s="522">
        <v>19.298999999999999</v>
      </c>
      <c r="F892" s="523" t="s">
        <v>4166</v>
      </c>
      <c r="G892" s="524" t="s">
        <v>3663</v>
      </c>
      <c r="H892" s="525" t="s">
        <v>3666</v>
      </c>
      <c r="I892" s="474"/>
      <c r="J892" s="475" t="s">
        <v>5072</v>
      </c>
    </row>
    <row r="893" spans="1:10" ht="14.25" customHeight="1">
      <c r="A893" s="520" t="s">
        <v>1391</v>
      </c>
      <c r="B893" s="521" t="s">
        <v>1392</v>
      </c>
      <c r="C893" s="520" t="s">
        <v>213</v>
      </c>
      <c r="D893" s="472">
        <v>20.696000000000002</v>
      </c>
      <c r="E893" s="522">
        <v>19.298999999999999</v>
      </c>
      <c r="F893" s="523" t="s">
        <v>4166</v>
      </c>
      <c r="G893" s="524" t="s">
        <v>3663</v>
      </c>
      <c r="H893" s="525" t="s">
        <v>3666</v>
      </c>
      <c r="I893" s="474"/>
      <c r="J893" s="475" t="s">
        <v>5073</v>
      </c>
    </row>
    <row r="894" spans="1:10" ht="14.25" customHeight="1">
      <c r="A894" s="520" t="s">
        <v>1393</v>
      </c>
      <c r="B894" s="521" t="s">
        <v>1394</v>
      </c>
      <c r="C894" s="520" t="s">
        <v>213</v>
      </c>
      <c r="D894" s="472">
        <v>20.696000000000002</v>
      </c>
      <c r="E894" s="522">
        <v>19.298999999999999</v>
      </c>
      <c r="F894" s="523">
        <v>9.3800000000000008</v>
      </c>
      <c r="G894" s="524" t="s">
        <v>3663</v>
      </c>
      <c r="H894" s="525" t="s">
        <v>3666</v>
      </c>
      <c r="I894" s="474"/>
      <c r="J894" s="475" t="s">
        <v>5074</v>
      </c>
    </row>
    <row r="895" spans="1:10" ht="14.25" customHeight="1">
      <c r="A895" s="520" t="s">
        <v>1395</v>
      </c>
      <c r="B895" s="521" t="s">
        <v>1396</v>
      </c>
      <c r="C895" s="520" t="s">
        <v>213</v>
      </c>
      <c r="D895" s="472">
        <v>20.696000000000002</v>
      </c>
      <c r="E895" s="522">
        <v>19.298999999999999</v>
      </c>
      <c r="F895" s="523" t="s">
        <v>4166</v>
      </c>
      <c r="G895" s="524" t="s">
        <v>3663</v>
      </c>
      <c r="H895" s="525" t="s">
        <v>3666</v>
      </c>
      <c r="I895" s="474"/>
      <c r="J895" s="475" t="s">
        <v>5075</v>
      </c>
    </row>
    <row r="896" spans="1:10" ht="14.25" customHeight="1">
      <c r="A896" s="520" t="s">
        <v>1397</v>
      </c>
      <c r="B896" s="521" t="s">
        <v>1398</v>
      </c>
      <c r="C896" s="520" t="s">
        <v>213</v>
      </c>
      <c r="D896" s="472">
        <v>20.696000000000002</v>
      </c>
      <c r="E896" s="522">
        <v>19.298999999999999</v>
      </c>
      <c r="F896" s="523" t="s">
        <v>4166</v>
      </c>
      <c r="G896" s="524" t="s">
        <v>3663</v>
      </c>
      <c r="H896" s="525" t="s">
        <v>3666</v>
      </c>
      <c r="I896" s="474"/>
      <c r="J896" s="475" t="s">
        <v>5076</v>
      </c>
    </row>
    <row r="897" spans="1:10" ht="14.25" customHeight="1">
      <c r="A897" s="520" t="s">
        <v>1399</v>
      </c>
      <c r="B897" s="521" t="s">
        <v>1400</v>
      </c>
      <c r="C897" s="520" t="s">
        <v>213</v>
      </c>
      <c r="D897" s="472">
        <v>20.696000000000002</v>
      </c>
      <c r="E897" s="522">
        <v>19.298999999999999</v>
      </c>
      <c r="F897" s="523" t="s">
        <v>4166</v>
      </c>
      <c r="G897" s="524" t="s">
        <v>3663</v>
      </c>
      <c r="H897" s="525" t="s">
        <v>3666</v>
      </c>
      <c r="I897" s="474"/>
      <c r="J897" s="475" t="s">
        <v>5077</v>
      </c>
    </row>
    <row r="898" spans="1:10" ht="14.25" customHeight="1">
      <c r="A898" s="520" t="s">
        <v>1401</v>
      </c>
      <c r="B898" s="521" t="s">
        <v>1402</v>
      </c>
      <c r="C898" s="520" t="s">
        <v>213</v>
      </c>
      <c r="D898" s="472">
        <v>20.696000000000002</v>
      </c>
      <c r="E898" s="522">
        <v>19.298999999999999</v>
      </c>
      <c r="F898" s="523" t="s">
        <v>4166</v>
      </c>
      <c r="G898" s="524" t="s">
        <v>3663</v>
      </c>
      <c r="H898" s="525" t="s">
        <v>3666</v>
      </c>
      <c r="I898" s="474"/>
      <c r="J898" s="475" t="s">
        <v>5078</v>
      </c>
    </row>
    <row r="899" spans="1:10" ht="14.25" customHeight="1">
      <c r="A899" s="520" t="s">
        <v>1403</v>
      </c>
      <c r="B899" s="521" t="s">
        <v>1404</v>
      </c>
      <c r="C899" s="520" t="s">
        <v>213</v>
      </c>
      <c r="D899" s="472">
        <v>20.696000000000002</v>
      </c>
      <c r="E899" s="522">
        <v>19.298999999999999</v>
      </c>
      <c r="F899" s="523" t="s">
        <v>4166</v>
      </c>
      <c r="G899" s="524" t="s">
        <v>3663</v>
      </c>
      <c r="H899" s="525" t="s">
        <v>3666</v>
      </c>
      <c r="I899" s="474"/>
      <c r="J899" s="475" t="s">
        <v>5079</v>
      </c>
    </row>
    <row r="900" spans="1:10" ht="14.25" customHeight="1">
      <c r="A900" s="520" t="s">
        <v>1405</v>
      </c>
      <c r="B900" s="521" t="s">
        <v>1406</v>
      </c>
      <c r="C900" s="520" t="s">
        <v>213</v>
      </c>
      <c r="D900" s="472">
        <v>20.696000000000002</v>
      </c>
      <c r="E900" s="522">
        <v>19.298999999999999</v>
      </c>
      <c r="F900" s="523" t="s">
        <v>4166</v>
      </c>
      <c r="G900" s="524" t="s">
        <v>3663</v>
      </c>
      <c r="H900" s="525" t="s">
        <v>3666</v>
      </c>
      <c r="I900" s="474"/>
      <c r="J900" s="475" t="s">
        <v>5080</v>
      </c>
    </row>
    <row r="901" spans="1:10" ht="14.25" customHeight="1">
      <c r="A901" s="520" t="s">
        <v>1407</v>
      </c>
      <c r="B901" s="521" t="s">
        <v>1408</v>
      </c>
      <c r="C901" s="520" t="s">
        <v>213</v>
      </c>
      <c r="D901" s="472">
        <v>20.696000000000002</v>
      </c>
      <c r="E901" s="522">
        <v>19.298999999999999</v>
      </c>
      <c r="F901" s="523" t="s">
        <v>4166</v>
      </c>
      <c r="G901" s="524" t="s">
        <v>3663</v>
      </c>
      <c r="H901" s="525" t="s">
        <v>3666</v>
      </c>
      <c r="I901" s="474"/>
      <c r="J901" s="475" t="s">
        <v>5081</v>
      </c>
    </row>
    <row r="902" spans="1:10" ht="14.25" customHeight="1">
      <c r="A902" s="520" t="s">
        <v>1409</v>
      </c>
      <c r="B902" s="521" t="s">
        <v>1410</v>
      </c>
      <c r="C902" s="520" t="s">
        <v>213</v>
      </c>
      <c r="D902" s="472">
        <v>20.696000000000002</v>
      </c>
      <c r="E902" s="522">
        <v>19.298999999999999</v>
      </c>
      <c r="F902" s="523" t="s">
        <v>4166</v>
      </c>
      <c r="G902" s="524" t="s">
        <v>3663</v>
      </c>
      <c r="H902" s="525" t="s">
        <v>3666</v>
      </c>
      <c r="I902" s="474"/>
      <c r="J902" s="475" t="s">
        <v>5082</v>
      </c>
    </row>
    <row r="903" spans="1:10" ht="14.25" customHeight="1">
      <c r="A903" s="520" t="s">
        <v>1411</v>
      </c>
      <c r="B903" s="521" t="s">
        <v>1412</v>
      </c>
      <c r="C903" s="520" t="s">
        <v>213</v>
      </c>
      <c r="D903" s="472">
        <v>20.696000000000002</v>
      </c>
      <c r="E903" s="522">
        <v>19.298999999999999</v>
      </c>
      <c r="F903" s="523" t="s">
        <v>4166</v>
      </c>
      <c r="G903" s="524" t="s">
        <v>3663</v>
      </c>
      <c r="H903" s="525" t="s">
        <v>3666</v>
      </c>
      <c r="I903" s="474"/>
      <c r="J903" s="475" t="s">
        <v>5083</v>
      </c>
    </row>
    <row r="904" spans="1:10" ht="14.25" customHeight="1">
      <c r="A904" s="520" t="s">
        <v>1413</v>
      </c>
      <c r="B904" s="521" t="s">
        <v>1414</v>
      </c>
      <c r="C904" s="520" t="s">
        <v>213</v>
      </c>
      <c r="D904" s="472">
        <v>20.696000000000002</v>
      </c>
      <c r="E904" s="522">
        <v>19.298999999999999</v>
      </c>
      <c r="F904" s="523" t="s">
        <v>4166</v>
      </c>
      <c r="G904" s="524" t="s">
        <v>3663</v>
      </c>
      <c r="H904" s="525" t="s">
        <v>3666</v>
      </c>
      <c r="I904" s="474"/>
      <c r="J904" s="475" t="s">
        <v>5084</v>
      </c>
    </row>
    <row r="905" spans="1:10" ht="14.25" customHeight="1">
      <c r="A905" s="471" t="s">
        <v>1415</v>
      </c>
      <c r="B905" s="471" t="s">
        <v>1416</v>
      </c>
      <c r="C905" s="520" t="s">
        <v>213</v>
      </c>
      <c r="D905" s="472">
        <v>20.696000000000002</v>
      </c>
      <c r="E905" s="522">
        <v>19.298999999999999</v>
      </c>
      <c r="F905" s="523" t="s">
        <v>4166</v>
      </c>
      <c r="G905" s="524" t="s">
        <v>3663</v>
      </c>
      <c r="H905" s="525" t="s">
        <v>3666</v>
      </c>
      <c r="I905" s="474"/>
      <c r="J905" s="475" t="s">
        <v>5085</v>
      </c>
    </row>
    <row r="906" spans="1:10" ht="14.25" customHeight="1">
      <c r="A906" s="520" t="s">
        <v>1417</v>
      </c>
      <c r="B906" s="521" t="s">
        <v>1418</v>
      </c>
      <c r="C906" s="520" t="s">
        <v>213</v>
      </c>
      <c r="D906" s="472">
        <v>20.696000000000002</v>
      </c>
      <c r="E906" s="522">
        <v>19.298999999999999</v>
      </c>
      <c r="F906" s="523" t="s">
        <v>4166</v>
      </c>
      <c r="G906" s="524" t="s">
        <v>3663</v>
      </c>
      <c r="H906" s="525" t="s">
        <v>3666</v>
      </c>
      <c r="I906" s="474"/>
      <c r="J906" s="475" t="s">
        <v>5086</v>
      </c>
    </row>
    <row r="907" spans="1:10" ht="14.25" customHeight="1">
      <c r="A907" s="520" t="s">
        <v>1419</v>
      </c>
      <c r="B907" s="521" t="s">
        <v>1420</v>
      </c>
      <c r="C907" s="520" t="s">
        <v>213</v>
      </c>
      <c r="D907" s="472">
        <v>20.696000000000002</v>
      </c>
      <c r="E907" s="522">
        <v>19.298999999999999</v>
      </c>
      <c r="F907" s="523" t="s">
        <v>4166</v>
      </c>
      <c r="G907" s="524" t="s">
        <v>3663</v>
      </c>
      <c r="H907" s="525" t="s">
        <v>3666</v>
      </c>
      <c r="I907" s="474"/>
      <c r="J907" s="475" t="s">
        <v>5087</v>
      </c>
    </row>
    <row r="908" spans="1:10" ht="14.25" customHeight="1">
      <c r="A908" s="520" t="s">
        <v>1421</v>
      </c>
      <c r="B908" s="521" t="s">
        <v>1422</v>
      </c>
      <c r="C908" s="520" t="s">
        <v>213</v>
      </c>
      <c r="D908" s="472">
        <v>20.696000000000002</v>
      </c>
      <c r="E908" s="522">
        <v>19.298999999999999</v>
      </c>
      <c r="F908" s="523" t="s">
        <v>4166</v>
      </c>
      <c r="G908" s="524" t="s">
        <v>3663</v>
      </c>
      <c r="H908" s="525" t="s">
        <v>3666</v>
      </c>
      <c r="I908" s="474"/>
      <c r="J908" s="475" t="s">
        <v>5088</v>
      </c>
    </row>
    <row r="909" spans="1:10" ht="14.25" customHeight="1">
      <c r="A909" s="520" t="s">
        <v>1423</v>
      </c>
      <c r="B909" s="521" t="s">
        <v>1424</v>
      </c>
      <c r="C909" s="520" t="s">
        <v>213</v>
      </c>
      <c r="D909" s="472">
        <v>13.992000000000001</v>
      </c>
      <c r="E909" s="522">
        <v>13.048999999999999</v>
      </c>
      <c r="F909" s="523" t="s">
        <v>4166</v>
      </c>
      <c r="G909" s="524" t="s">
        <v>3663</v>
      </c>
      <c r="H909" s="525" t="s">
        <v>3666</v>
      </c>
      <c r="I909" s="474"/>
      <c r="J909" s="475" t="s">
        <v>5089</v>
      </c>
    </row>
    <row r="910" spans="1:10" ht="14.25" customHeight="1">
      <c r="A910" s="520" t="s">
        <v>1425</v>
      </c>
      <c r="B910" s="521" t="s">
        <v>1426</v>
      </c>
      <c r="C910" s="520" t="s">
        <v>213</v>
      </c>
      <c r="D910" s="472">
        <v>13.992000000000001</v>
      </c>
      <c r="E910" s="522">
        <v>13.048999999999999</v>
      </c>
      <c r="F910" s="523" t="s">
        <v>4166</v>
      </c>
      <c r="G910" s="524" t="s">
        <v>3663</v>
      </c>
      <c r="H910" s="525" t="s">
        <v>3666</v>
      </c>
      <c r="I910" s="474"/>
      <c r="J910" s="475" t="s">
        <v>5090</v>
      </c>
    </row>
    <row r="911" spans="1:10" ht="14.25" customHeight="1">
      <c r="A911" s="520" t="s">
        <v>1427</v>
      </c>
      <c r="B911" s="521" t="s">
        <v>1428</v>
      </c>
      <c r="C911" s="520" t="s">
        <v>213</v>
      </c>
      <c r="D911" s="472">
        <v>13.992000000000001</v>
      </c>
      <c r="E911" s="522">
        <v>13.048999999999999</v>
      </c>
      <c r="F911" s="523" t="s">
        <v>4166</v>
      </c>
      <c r="G911" s="524" t="s">
        <v>3663</v>
      </c>
      <c r="H911" s="525" t="s">
        <v>3666</v>
      </c>
      <c r="I911" s="474"/>
      <c r="J911" s="475" t="s">
        <v>5091</v>
      </c>
    </row>
    <row r="912" spans="1:10" ht="14.25" customHeight="1">
      <c r="A912" s="520" t="s">
        <v>1429</v>
      </c>
      <c r="B912" s="521" t="s">
        <v>1430</v>
      </c>
      <c r="C912" s="520" t="s">
        <v>213</v>
      </c>
      <c r="D912" s="472">
        <v>13.992000000000001</v>
      </c>
      <c r="E912" s="522">
        <v>13.048999999999999</v>
      </c>
      <c r="F912" s="523" t="s">
        <v>4166</v>
      </c>
      <c r="G912" s="524" t="s">
        <v>3663</v>
      </c>
      <c r="H912" s="525" t="s">
        <v>3666</v>
      </c>
      <c r="I912" s="474"/>
      <c r="J912" s="475" t="s">
        <v>5092</v>
      </c>
    </row>
    <row r="913" spans="1:10" ht="14.25" customHeight="1">
      <c r="A913" s="520" t="s">
        <v>1431</v>
      </c>
      <c r="B913" s="521" t="s">
        <v>1432</v>
      </c>
      <c r="C913" s="520" t="s">
        <v>213</v>
      </c>
      <c r="D913" s="472">
        <v>13.992000000000001</v>
      </c>
      <c r="E913" s="522">
        <v>13.048999999999999</v>
      </c>
      <c r="F913" s="523" t="s">
        <v>4166</v>
      </c>
      <c r="G913" s="524" t="s">
        <v>3663</v>
      </c>
      <c r="H913" s="525" t="s">
        <v>3666</v>
      </c>
      <c r="I913" s="474"/>
      <c r="J913" s="475" t="s">
        <v>5093</v>
      </c>
    </row>
    <row r="914" spans="1:10" ht="14.25" customHeight="1">
      <c r="A914" s="520" t="s">
        <v>1433</v>
      </c>
      <c r="B914" s="521" t="s">
        <v>1434</v>
      </c>
      <c r="C914" s="520" t="s">
        <v>213</v>
      </c>
      <c r="D914" s="472">
        <v>13.992000000000001</v>
      </c>
      <c r="E914" s="522">
        <v>13.048999999999999</v>
      </c>
      <c r="F914" s="523" t="s">
        <v>4166</v>
      </c>
      <c r="G914" s="524" t="s">
        <v>3663</v>
      </c>
      <c r="H914" s="525" t="s">
        <v>3666</v>
      </c>
      <c r="I914" s="474"/>
      <c r="J914" s="475" t="s">
        <v>5094</v>
      </c>
    </row>
    <row r="915" spans="1:10" ht="14.25" customHeight="1">
      <c r="A915" s="520" t="s">
        <v>1435</v>
      </c>
      <c r="B915" s="521" t="s">
        <v>1436</v>
      </c>
      <c r="C915" s="520" t="s">
        <v>213</v>
      </c>
      <c r="D915" s="472">
        <v>13.992000000000001</v>
      </c>
      <c r="E915" s="522">
        <v>13.048999999999999</v>
      </c>
      <c r="F915" s="523" t="s">
        <v>4166</v>
      </c>
      <c r="G915" s="524" t="s">
        <v>3663</v>
      </c>
      <c r="H915" s="525" t="s">
        <v>3666</v>
      </c>
      <c r="I915" s="474"/>
      <c r="J915" s="475" t="s">
        <v>5095</v>
      </c>
    </row>
    <row r="916" spans="1:10" ht="14.25" customHeight="1">
      <c r="A916" s="520" t="s">
        <v>1437</v>
      </c>
      <c r="B916" s="521" t="s">
        <v>1438</v>
      </c>
      <c r="C916" s="520" t="s">
        <v>213</v>
      </c>
      <c r="D916" s="472">
        <v>13.992000000000001</v>
      </c>
      <c r="E916" s="522">
        <v>13.048999999999999</v>
      </c>
      <c r="F916" s="523" t="s">
        <v>4166</v>
      </c>
      <c r="G916" s="524" t="s">
        <v>3663</v>
      </c>
      <c r="H916" s="525" t="s">
        <v>3666</v>
      </c>
      <c r="I916" s="474"/>
      <c r="J916" s="475" t="s">
        <v>5096</v>
      </c>
    </row>
    <row r="917" spans="1:10" ht="14.25" customHeight="1">
      <c r="A917" s="520" t="s">
        <v>1439</v>
      </c>
      <c r="B917" s="521" t="s">
        <v>1440</v>
      </c>
      <c r="C917" s="520" t="s">
        <v>213</v>
      </c>
      <c r="D917" s="472">
        <v>13.992000000000001</v>
      </c>
      <c r="E917" s="522">
        <v>13.048999999999999</v>
      </c>
      <c r="F917" s="523" t="s">
        <v>4166</v>
      </c>
      <c r="G917" s="524" t="s">
        <v>3663</v>
      </c>
      <c r="H917" s="525" t="s">
        <v>3666</v>
      </c>
      <c r="I917" s="474"/>
      <c r="J917" s="475" t="s">
        <v>5097</v>
      </c>
    </row>
    <row r="918" spans="1:10" ht="14.25" customHeight="1">
      <c r="A918" s="520" t="s">
        <v>1441</v>
      </c>
      <c r="B918" s="521" t="s">
        <v>1442</v>
      </c>
      <c r="C918" s="520" t="s">
        <v>213</v>
      </c>
      <c r="D918" s="472">
        <v>13.992000000000001</v>
      </c>
      <c r="E918" s="522">
        <v>13.048999999999999</v>
      </c>
      <c r="F918" s="523" t="s">
        <v>4166</v>
      </c>
      <c r="G918" s="524" t="s">
        <v>3663</v>
      </c>
      <c r="H918" s="525" t="s">
        <v>3666</v>
      </c>
      <c r="I918" s="474"/>
      <c r="J918" s="475" t="s">
        <v>5098</v>
      </c>
    </row>
    <row r="919" spans="1:10" ht="14.25" customHeight="1">
      <c r="A919" s="520" t="s">
        <v>1443</v>
      </c>
      <c r="B919" s="521" t="s">
        <v>1444</v>
      </c>
      <c r="C919" s="520" t="s">
        <v>213</v>
      </c>
      <c r="D919" s="472">
        <v>13.992000000000001</v>
      </c>
      <c r="E919" s="522">
        <v>13.048999999999999</v>
      </c>
      <c r="F919" s="523" t="s">
        <v>4166</v>
      </c>
      <c r="G919" s="524" t="s">
        <v>3663</v>
      </c>
      <c r="H919" s="525" t="s">
        <v>3666</v>
      </c>
      <c r="I919" s="474"/>
      <c r="J919" s="475" t="s">
        <v>5099</v>
      </c>
    </row>
    <row r="920" spans="1:10" ht="14.25" customHeight="1">
      <c r="A920" s="520" t="s">
        <v>1445</v>
      </c>
      <c r="B920" s="521" t="s">
        <v>1446</v>
      </c>
      <c r="C920" s="520" t="s">
        <v>213</v>
      </c>
      <c r="D920" s="472">
        <v>13.992000000000001</v>
      </c>
      <c r="E920" s="522">
        <v>13.048999999999999</v>
      </c>
      <c r="F920" s="523" t="s">
        <v>4166</v>
      </c>
      <c r="G920" s="524" t="s">
        <v>3663</v>
      </c>
      <c r="H920" s="525" t="s">
        <v>3666</v>
      </c>
      <c r="I920" s="474"/>
      <c r="J920" s="475" t="s">
        <v>5100</v>
      </c>
    </row>
    <row r="921" spans="1:10" ht="14.25" customHeight="1">
      <c r="A921" s="520" t="s">
        <v>1447</v>
      </c>
      <c r="B921" s="521" t="s">
        <v>1448</v>
      </c>
      <c r="C921" s="520" t="s">
        <v>213</v>
      </c>
      <c r="D921" s="472">
        <v>13.992000000000001</v>
      </c>
      <c r="E921" s="522">
        <v>13.048999999999999</v>
      </c>
      <c r="F921" s="523" t="s">
        <v>4166</v>
      </c>
      <c r="G921" s="524" t="s">
        <v>3663</v>
      </c>
      <c r="H921" s="525" t="s">
        <v>3666</v>
      </c>
      <c r="I921" s="474"/>
      <c r="J921" s="475" t="s">
        <v>5101</v>
      </c>
    </row>
    <row r="922" spans="1:10" ht="14.25" customHeight="1">
      <c r="A922" s="520" t="s">
        <v>1449</v>
      </c>
      <c r="B922" s="521" t="s">
        <v>1450</v>
      </c>
      <c r="C922" s="520" t="s">
        <v>213</v>
      </c>
      <c r="D922" s="472">
        <v>13.992000000000001</v>
      </c>
      <c r="E922" s="522">
        <v>13.048999999999999</v>
      </c>
      <c r="F922" s="523" t="s">
        <v>4166</v>
      </c>
      <c r="G922" s="524" t="s">
        <v>3663</v>
      </c>
      <c r="H922" s="525" t="s">
        <v>3666</v>
      </c>
      <c r="I922" s="474"/>
      <c r="J922" s="475" t="s">
        <v>5102</v>
      </c>
    </row>
    <row r="923" spans="1:10" ht="14.25" customHeight="1">
      <c r="A923" s="520" t="s">
        <v>1451</v>
      </c>
      <c r="B923" s="521" t="s">
        <v>1452</v>
      </c>
      <c r="C923" s="520" t="s">
        <v>213</v>
      </c>
      <c r="D923" s="472">
        <v>13.992000000000001</v>
      </c>
      <c r="E923" s="522">
        <v>13.048999999999999</v>
      </c>
      <c r="F923" s="523" t="s">
        <v>4166</v>
      </c>
      <c r="G923" s="524" t="s">
        <v>3663</v>
      </c>
      <c r="H923" s="525" t="s">
        <v>3666</v>
      </c>
      <c r="I923" s="474"/>
      <c r="J923" s="475" t="s">
        <v>5103</v>
      </c>
    </row>
    <row r="924" spans="1:10" ht="14.25" customHeight="1">
      <c r="A924" s="520" t="s">
        <v>1453</v>
      </c>
      <c r="B924" s="521" t="s">
        <v>1454</v>
      </c>
      <c r="C924" s="520" t="s">
        <v>213</v>
      </c>
      <c r="D924" s="472">
        <v>9.4629999999999992</v>
      </c>
      <c r="E924" s="522">
        <v>8.827</v>
      </c>
      <c r="F924" s="523">
        <v>0.4</v>
      </c>
      <c r="G924" s="524" t="s">
        <v>3663</v>
      </c>
      <c r="H924" s="525" t="s">
        <v>3666</v>
      </c>
      <c r="I924" s="474"/>
      <c r="J924" s="475" t="s">
        <v>5104</v>
      </c>
    </row>
    <row r="925" spans="1:10" ht="14.25" customHeight="1">
      <c r="A925" s="520" t="s">
        <v>1455</v>
      </c>
      <c r="B925" s="521" t="s">
        <v>1456</v>
      </c>
      <c r="C925" s="520" t="s">
        <v>213</v>
      </c>
      <c r="D925" s="472">
        <v>9.4629999999999992</v>
      </c>
      <c r="E925" s="522">
        <v>8.827</v>
      </c>
      <c r="F925" s="523">
        <v>0.4</v>
      </c>
      <c r="G925" s="524" t="s">
        <v>3663</v>
      </c>
      <c r="H925" s="525" t="s">
        <v>3666</v>
      </c>
      <c r="I925" s="474"/>
      <c r="J925" s="475" t="s">
        <v>5105</v>
      </c>
    </row>
    <row r="926" spans="1:10" ht="14.25" customHeight="1">
      <c r="A926" s="520" t="s">
        <v>1457</v>
      </c>
      <c r="B926" s="521" t="s">
        <v>1458</v>
      </c>
      <c r="C926" s="520" t="s">
        <v>213</v>
      </c>
      <c r="D926" s="472">
        <v>7.125</v>
      </c>
      <c r="E926" s="522">
        <v>6.6520000000000001</v>
      </c>
      <c r="F926" s="523">
        <v>0.4</v>
      </c>
      <c r="G926" s="524" t="s">
        <v>3663</v>
      </c>
      <c r="H926" s="525" t="s">
        <v>3666</v>
      </c>
      <c r="I926" s="474"/>
      <c r="J926" s="475" t="s">
        <v>5106</v>
      </c>
    </row>
    <row r="927" spans="1:10" ht="14.25" customHeight="1">
      <c r="A927" s="520" t="s">
        <v>1459</v>
      </c>
      <c r="B927" s="521" t="s">
        <v>1460</v>
      </c>
      <c r="C927" s="520" t="s">
        <v>213</v>
      </c>
      <c r="D927" s="472">
        <v>7.125</v>
      </c>
      <c r="E927" s="522">
        <v>6.6520000000000001</v>
      </c>
      <c r="F927" s="523">
        <v>0.4</v>
      </c>
      <c r="G927" s="524" t="s">
        <v>3663</v>
      </c>
      <c r="H927" s="525" t="s">
        <v>3666</v>
      </c>
      <c r="I927" s="474"/>
      <c r="J927" s="475" t="s">
        <v>5107</v>
      </c>
    </row>
    <row r="928" spans="1:10" ht="14.25" customHeight="1">
      <c r="A928" s="520" t="s">
        <v>1461</v>
      </c>
      <c r="B928" s="521" t="s">
        <v>1462</v>
      </c>
      <c r="C928" s="520" t="s">
        <v>213</v>
      </c>
      <c r="D928" s="472">
        <v>7.125</v>
      </c>
      <c r="E928" s="522">
        <v>6.6520000000000001</v>
      </c>
      <c r="F928" s="523">
        <v>0.4</v>
      </c>
      <c r="G928" s="524" t="s">
        <v>3663</v>
      </c>
      <c r="H928" s="525" t="s">
        <v>3666</v>
      </c>
      <c r="I928" s="474"/>
      <c r="J928" s="475" t="s">
        <v>5108</v>
      </c>
    </row>
    <row r="929" spans="1:10" ht="14.25" customHeight="1">
      <c r="A929" s="520" t="s">
        <v>1463</v>
      </c>
      <c r="B929" s="521" t="s">
        <v>1464</v>
      </c>
      <c r="C929" s="520" t="s">
        <v>213</v>
      </c>
      <c r="D929" s="472">
        <v>7.125</v>
      </c>
      <c r="E929" s="522">
        <v>6.6520000000000001</v>
      </c>
      <c r="F929" s="523">
        <v>0.4</v>
      </c>
      <c r="G929" s="524" t="s">
        <v>3663</v>
      </c>
      <c r="H929" s="525" t="s">
        <v>3666</v>
      </c>
      <c r="I929" s="474"/>
      <c r="J929" s="475" t="s">
        <v>5109</v>
      </c>
    </row>
    <row r="930" spans="1:10" ht="14.25" customHeight="1">
      <c r="A930" s="520" t="s">
        <v>1465</v>
      </c>
      <c r="B930" s="521" t="s">
        <v>1466</v>
      </c>
      <c r="C930" s="520" t="s">
        <v>213</v>
      </c>
      <c r="D930" s="472">
        <v>7.125</v>
      </c>
      <c r="E930" s="522">
        <v>6.6520000000000001</v>
      </c>
      <c r="F930" s="523">
        <v>0.4</v>
      </c>
      <c r="G930" s="524" t="s">
        <v>3663</v>
      </c>
      <c r="H930" s="525" t="s">
        <v>3666</v>
      </c>
      <c r="I930" s="474"/>
      <c r="J930" s="475" t="s">
        <v>5110</v>
      </c>
    </row>
    <row r="931" spans="1:10" ht="14.25" customHeight="1">
      <c r="A931" s="520" t="s">
        <v>1467</v>
      </c>
      <c r="B931" s="521" t="s">
        <v>1468</v>
      </c>
      <c r="C931" s="520" t="s">
        <v>213</v>
      </c>
      <c r="D931" s="472">
        <v>7.125</v>
      </c>
      <c r="E931" s="522">
        <v>6.6520000000000001</v>
      </c>
      <c r="F931" s="523">
        <v>0.4</v>
      </c>
      <c r="G931" s="524" t="s">
        <v>3663</v>
      </c>
      <c r="H931" s="525" t="s">
        <v>3666</v>
      </c>
      <c r="I931" s="474"/>
      <c r="J931" s="475" t="s">
        <v>5111</v>
      </c>
    </row>
    <row r="932" spans="1:10" ht="14.25" customHeight="1">
      <c r="A932" s="520" t="s">
        <v>1469</v>
      </c>
      <c r="B932" s="521" t="s">
        <v>1470</v>
      </c>
      <c r="C932" s="520" t="s">
        <v>213</v>
      </c>
      <c r="D932" s="472">
        <v>7.125</v>
      </c>
      <c r="E932" s="522">
        <v>6.6520000000000001</v>
      </c>
      <c r="F932" s="523">
        <v>0.4</v>
      </c>
      <c r="G932" s="524" t="s">
        <v>3663</v>
      </c>
      <c r="H932" s="525" t="s">
        <v>3666</v>
      </c>
      <c r="I932" s="474"/>
      <c r="J932" s="475" t="s">
        <v>5112</v>
      </c>
    </row>
    <row r="933" spans="1:10" ht="14.25" customHeight="1">
      <c r="A933" s="520" t="s">
        <v>1471</v>
      </c>
      <c r="B933" s="521" t="s">
        <v>1472</v>
      </c>
      <c r="C933" s="520" t="s">
        <v>213</v>
      </c>
      <c r="D933" s="472">
        <v>7.125</v>
      </c>
      <c r="E933" s="522">
        <v>6.6520000000000001</v>
      </c>
      <c r="F933" s="523">
        <v>0.4</v>
      </c>
      <c r="G933" s="524" t="s">
        <v>3663</v>
      </c>
      <c r="H933" s="525" t="s">
        <v>3666</v>
      </c>
      <c r="I933" s="474"/>
      <c r="J933" s="475" t="s">
        <v>5113</v>
      </c>
    </row>
    <row r="934" spans="1:10" ht="14.25" customHeight="1">
      <c r="A934" s="520" t="s">
        <v>1473</v>
      </c>
      <c r="B934" s="521" t="s">
        <v>1474</v>
      </c>
      <c r="C934" s="520" t="s">
        <v>213</v>
      </c>
      <c r="D934" s="472">
        <v>7.125</v>
      </c>
      <c r="E934" s="522">
        <v>6.6520000000000001</v>
      </c>
      <c r="F934" s="523">
        <v>1.4</v>
      </c>
      <c r="G934" s="524" t="s">
        <v>3663</v>
      </c>
      <c r="H934" s="525" t="s">
        <v>3666</v>
      </c>
      <c r="I934" s="474"/>
      <c r="J934" s="475" t="s">
        <v>5114</v>
      </c>
    </row>
    <row r="935" spans="1:10" ht="14.25" customHeight="1">
      <c r="A935" s="520" t="s">
        <v>1475</v>
      </c>
      <c r="B935" s="521" t="s">
        <v>1476</v>
      </c>
      <c r="C935" s="520" t="s">
        <v>213</v>
      </c>
      <c r="D935" s="472">
        <v>7.125</v>
      </c>
      <c r="E935" s="522">
        <v>6.6520000000000001</v>
      </c>
      <c r="F935" s="523">
        <v>0.4</v>
      </c>
      <c r="G935" s="524" t="s">
        <v>3663</v>
      </c>
      <c r="H935" s="525" t="s">
        <v>3666</v>
      </c>
      <c r="I935" s="474"/>
      <c r="J935" s="475" t="s">
        <v>5115</v>
      </c>
    </row>
    <row r="936" spans="1:10" ht="14.25" customHeight="1">
      <c r="A936" s="520" t="s">
        <v>1477</v>
      </c>
      <c r="B936" s="521" t="s">
        <v>1478</v>
      </c>
      <c r="C936" s="520" t="s">
        <v>213</v>
      </c>
      <c r="D936" s="472">
        <v>7.125</v>
      </c>
      <c r="E936" s="522">
        <v>6.6520000000000001</v>
      </c>
      <c r="F936" s="523">
        <v>1.4</v>
      </c>
      <c r="G936" s="524" t="s">
        <v>3663</v>
      </c>
      <c r="H936" s="525" t="s">
        <v>3666</v>
      </c>
      <c r="I936" s="474"/>
      <c r="J936" s="475" t="s">
        <v>5116</v>
      </c>
    </row>
    <row r="937" spans="1:10" ht="14.25" customHeight="1">
      <c r="A937" s="520" t="s">
        <v>1479</v>
      </c>
      <c r="B937" s="521" t="s">
        <v>1480</v>
      </c>
      <c r="C937" s="520" t="s">
        <v>213</v>
      </c>
      <c r="D937" s="472">
        <v>7.125</v>
      </c>
      <c r="E937" s="522">
        <v>6.6520000000000001</v>
      </c>
      <c r="F937" s="523">
        <v>0.4</v>
      </c>
      <c r="G937" s="524" t="s">
        <v>3663</v>
      </c>
      <c r="H937" s="525" t="s">
        <v>3666</v>
      </c>
      <c r="I937" s="474"/>
      <c r="J937" s="475" t="s">
        <v>5117</v>
      </c>
    </row>
    <row r="938" spans="1:10" ht="14.25" customHeight="1">
      <c r="A938" s="520" t="s">
        <v>1481</v>
      </c>
      <c r="B938" s="521" t="s">
        <v>1482</v>
      </c>
      <c r="C938" s="520" t="s">
        <v>213</v>
      </c>
      <c r="D938" s="472">
        <v>7.125</v>
      </c>
      <c r="E938" s="522">
        <v>6.6520000000000001</v>
      </c>
      <c r="F938" s="523">
        <v>1.4</v>
      </c>
      <c r="G938" s="524" t="s">
        <v>3663</v>
      </c>
      <c r="H938" s="525" t="s">
        <v>3666</v>
      </c>
      <c r="I938" s="474"/>
      <c r="J938" s="475" t="s">
        <v>5118</v>
      </c>
    </row>
    <row r="939" spans="1:10" ht="14.25" customHeight="1">
      <c r="A939" s="520" t="s">
        <v>1483</v>
      </c>
      <c r="B939" s="521" t="s">
        <v>1484</v>
      </c>
      <c r="C939" s="520" t="s">
        <v>213</v>
      </c>
      <c r="D939" s="472">
        <v>7.125</v>
      </c>
      <c r="E939" s="522">
        <v>6.6390000000000002</v>
      </c>
      <c r="F939" s="523">
        <v>0.4</v>
      </c>
      <c r="G939" s="524" t="s">
        <v>3663</v>
      </c>
      <c r="H939" s="525" t="s">
        <v>3666</v>
      </c>
      <c r="I939" s="474"/>
      <c r="J939" s="475" t="s">
        <v>5119</v>
      </c>
    </row>
    <row r="940" spans="1:10" ht="14.25" customHeight="1">
      <c r="A940" s="520" t="s">
        <v>1485</v>
      </c>
      <c r="B940" s="521" t="s">
        <v>1486</v>
      </c>
      <c r="C940" s="520" t="s">
        <v>213</v>
      </c>
      <c r="D940" s="472">
        <v>7.125</v>
      </c>
      <c r="E940" s="522">
        <v>6.6520000000000001</v>
      </c>
      <c r="F940" s="523" t="s">
        <v>4166</v>
      </c>
      <c r="G940" s="524" t="s">
        <v>3663</v>
      </c>
      <c r="H940" s="525" t="s">
        <v>3666</v>
      </c>
      <c r="I940" s="474"/>
      <c r="J940" s="475" t="s">
        <v>5120</v>
      </c>
    </row>
    <row r="941" spans="1:10" ht="14.25" customHeight="1">
      <c r="A941" s="520" t="s">
        <v>1487</v>
      </c>
      <c r="B941" s="521" t="s">
        <v>1488</v>
      </c>
      <c r="C941" s="520" t="s">
        <v>213</v>
      </c>
      <c r="D941" s="472">
        <v>7.125</v>
      </c>
      <c r="E941" s="522">
        <v>6.6520000000000001</v>
      </c>
      <c r="F941" s="523" t="s">
        <v>4166</v>
      </c>
      <c r="G941" s="524" t="s">
        <v>3663</v>
      </c>
      <c r="H941" s="525" t="s">
        <v>3666</v>
      </c>
      <c r="I941" s="474"/>
      <c r="J941" s="475" t="s">
        <v>5121</v>
      </c>
    </row>
    <row r="942" spans="1:10" ht="14.25" customHeight="1">
      <c r="A942" s="520" t="s">
        <v>1489</v>
      </c>
      <c r="B942" s="521" t="s">
        <v>1490</v>
      </c>
      <c r="C942" s="520" t="s">
        <v>213</v>
      </c>
      <c r="D942" s="472">
        <v>7.125</v>
      </c>
      <c r="E942" s="522">
        <v>6.6520000000000001</v>
      </c>
      <c r="F942" s="523" t="s">
        <v>4166</v>
      </c>
      <c r="G942" s="524" t="s">
        <v>3663</v>
      </c>
      <c r="H942" s="525" t="s">
        <v>3666</v>
      </c>
      <c r="I942" s="474"/>
      <c r="J942" s="475" t="s">
        <v>5122</v>
      </c>
    </row>
    <row r="943" spans="1:10" ht="14.25" customHeight="1">
      <c r="A943" s="520" t="s">
        <v>1491</v>
      </c>
      <c r="B943" s="521" t="s">
        <v>1492</v>
      </c>
      <c r="C943" s="520" t="s">
        <v>213</v>
      </c>
      <c r="D943" s="472">
        <v>7.125</v>
      </c>
      <c r="E943" s="522">
        <v>6.6520000000000001</v>
      </c>
      <c r="F943" s="523" t="s">
        <v>4166</v>
      </c>
      <c r="G943" s="524" t="s">
        <v>3663</v>
      </c>
      <c r="H943" s="525" t="s">
        <v>3666</v>
      </c>
      <c r="I943" s="474"/>
      <c r="J943" s="475" t="s">
        <v>5123</v>
      </c>
    </row>
    <row r="944" spans="1:10" ht="14.25" customHeight="1">
      <c r="A944" s="520" t="s">
        <v>1493</v>
      </c>
      <c r="B944" s="521" t="s">
        <v>1494</v>
      </c>
      <c r="C944" s="520" t="s">
        <v>213</v>
      </c>
      <c r="D944" s="472">
        <v>7.125</v>
      </c>
      <c r="E944" s="522">
        <v>6.6520000000000001</v>
      </c>
      <c r="F944" s="523" t="s">
        <v>4166</v>
      </c>
      <c r="G944" s="524" t="s">
        <v>3663</v>
      </c>
      <c r="H944" s="525" t="s">
        <v>3666</v>
      </c>
      <c r="I944" s="474"/>
      <c r="J944" s="475" t="s">
        <v>5124</v>
      </c>
    </row>
    <row r="945" spans="1:10" ht="14.25" customHeight="1">
      <c r="A945" s="520" t="s">
        <v>1495</v>
      </c>
      <c r="B945" s="521" t="s">
        <v>1496</v>
      </c>
      <c r="C945" s="520" t="s">
        <v>213</v>
      </c>
      <c r="D945" s="472">
        <v>7.125</v>
      </c>
      <c r="E945" s="522">
        <v>6.6520000000000001</v>
      </c>
      <c r="F945" s="523" t="s">
        <v>4166</v>
      </c>
      <c r="G945" s="524" t="s">
        <v>3663</v>
      </c>
      <c r="H945" s="525" t="s">
        <v>3666</v>
      </c>
      <c r="I945" s="474"/>
      <c r="J945" s="475" t="s">
        <v>5125</v>
      </c>
    </row>
    <row r="946" spans="1:10" ht="14.25" customHeight="1">
      <c r="A946" s="520" t="s">
        <v>1497</v>
      </c>
      <c r="B946" s="521" t="s">
        <v>1498</v>
      </c>
      <c r="C946" s="520" t="s">
        <v>213</v>
      </c>
      <c r="D946" s="472">
        <v>7.12</v>
      </c>
      <c r="E946" s="522">
        <v>6.6509999999999998</v>
      </c>
      <c r="F946" s="523" t="s">
        <v>4166</v>
      </c>
      <c r="G946" s="524" t="s">
        <v>3663</v>
      </c>
      <c r="H946" s="525" t="s">
        <v>3666</v>
      </c>
      <c r="I946" s="474"/>
      <c r="J946" s="475" t="s">
        <v>5126</v>
      </c>
    </row>
    <row r="947" spans="1:10" ht="14.25" customHeight="1">
      <c r="A947" s="520" t="s">
        <v>1499</v>
      </c>
      <c r="B947" s="521" t="s">
        <v>1500</v>
      </c>
      <c r="C947" s="520" t="s">
        <v>213</v>
      </c>
      <c r="D947" s="472">
        <v>20.696000000000002</v>
      </c>
      <c r="E947" s="522">
        <v>19.298999999999999</v>
      </c>
      <c r="F947" s="523" t="s">
        <v>4166</v>
      </c>
      <c r="G947" s="524" t="s">
        <v>3663</v>
      </c>
      <c r="H947" s="525" t="s">
        <v>3666</v>
      </c>
      <c r="I947" s="474"/>
      <c r="J947" s="475" t="s">
        <v>5127</v>
      </c>
    </row>
    <row r="948" spans="1:10" ht="14.25" customHeight="1">
      <c r="A948" s="520" t="s">
        <v>1501</v>
      </c>
      <c r="B948" s="521" t="s">
        <v>1502</v>
      </c>
      <c r="C948" s="520" t="s">
        <v>213</v>
      </c>
      <c r="D948" s="472">
        <v>20.696000000000002</v>
      </c>
      <c r="E948" s="522">
        <v>19.298999999999999</v>
      </c>
      <c r="F948" s="523" t="s">
        <v>4166</v>
      </c>
      <c r="G948" s="524" t="s">
        <v>3663</v>
      </c>
      <c r="H948" s="525" t="s">
        <v>3666</v>
      </c>
      <c r="I948" s="474"/>
      <c r="J948" s="475" t="s">
        <v>5128</v>
      </c>
    </row>
    <row r="949" spans="1:10" ht="14.25" customHeight="1">
      <c r="A949" s="520" t="s">
        <v>1503</v>
      </c>
      <c r="B949" s="521" t="s">
        <v>1504</v>
      </c>
      <c r="C949" s="520" t="s">
        <v>213</v>
      </c>
      <c r="D949" s="472">
        <v>20.696000000000002</v>
      </c>
      <c r="E949" s="522">
        <v>19.298999999999999</v>
      </c>
      <c r="F949" s="523" t="s">
        <v>4166</v>
      </c>
      <c r="G949" s="524" t="s">
        <v>3663</v>
      </c>
      <c r="H949" s="525" t="s">
        <v>3666</v>
      </c>
      <c r="I949" s="474"/>
      <c r="J949" s="475" t="s">
        <v>5129</v>
      </c>
    </row>
    <row r="950" spans="1:10" ht="14.25" customHeight="1">
      <c r="A950" s="520" t="s">
        <v>1505</v>
      </c>
      <c r="B950" s="521" t="s">
        <v>1506</v>
      </c>
      <c r="C950" s="520" t="s">
        <v>213</v>
      </c>
      <c r="D950" s="472">
        <v>20.696000000000002</v>
      </c>
      <c r="E950" s="522">
        <v>19.298999999999999</v>
      </c>
      <c r="F950" s="523" t="s">
        <v>4166</v>
      </c>
      <c r="G950" s="524" t="s">
        <v>3663</v>
      </c>
      <c r="H950" s="525" t="s">
        <v>3666</v>
      </c>
      <c r="I950" s="474"/>
      <c r="J950" s="475" t="s">
        <v>5130</v>
      </c>
    </row>
    <row r="951" spans="1:10" ht="14.25" customHeight="1">
      <c r="A951" s="520" t="s">
        <v>1507</v>
      </c>
      <c r="B951" s="521" t="s">
        <v>1508</v>
      </c>
      <c r="C951" s="520" t="s">
        <v>213</v>
      </c>
      <c r="D951" s="472">
        <v>20.696000000000002</v>
      </c>
      <c r="E951" s="522">
        <v>19.298999999999999</v>
      </c>
      <c r="F951" s="523" t="s">
        <v>4166</v>
      </c>
      <c r="G951" s="524" t="s">
        <v>3663</v>
      </c>
      <c r="H951" s="525" t="s">
        <v>3666</v>
      </c>
      <c r="I951" s="474"/>
      <c r="J951" s="475" t="s">
        <v>5131</v>
      </c>
    </row>
    <row r="952" spans="1:10" ht="14.25" customHeight="1">
      <c r="A952" s="520" t="s">
        <v>1509</v>
      </c>
      <c r="B952" s="521" t="s">
        <v>1510</v>
      </c>
      <c r="C952" s="520" t="s">
        <v>213</v>
      </c>
      <c r="D952" s="472">
        <v>20.696000000000002</v>
      </c>
      <c r="E952" s="522">
        <v>19.298999999999999</v>
      </c>
      <c r="F952" s="523" t="s">
        <v>4166</v>
      </c>
      <c r="G952" s="524" t="s">
        <v>3663</v>
      </c>
      <c r="H952" s="525" t="s">
        <v>3666</v>
      </c>
      <c r="I952" s="474"/>
      <c r="J952" s="475" t="s">
        <v>5132</v>
      </c>
    </row>
    <row r="953" spans="1:10" ht="14.25" customHeight="1">
      <c r="A953" s="520" t="s">
        <v>1511</v>
      </c>
      <c r="B953" s="521" t="s">
        <v>1512</v>
      </c>
      <c r="C953" s="520" t="s">
        <v>213</v>
      </c>
      <c r="D953" s="472">
        <v>20.696000000000002</v>
      </c>
      <c r="E953" s="522">
        <v>19.298999999999999</v>
      </c>
      <c r="F953" s="523" t="s">
        <v>4166</v>
      </c>
      <c r="G953" s="524" t="s">
        <v>3663</v>
      </c>
      <c r="H953" s="525" t="s">
        <v>3666</v>
      </c>
      <c r="I953" s="474"/>
      <c r="J953" s="475" t="s">
        <v>5133</v>
      </c>
    </row>
    <row r="954" spans="1:10" ht="14.25" customHeight="1">
      <c r="A954" s="520" t="s">
        <v>1513</v>
      </c>
      <c r="B954" s="521" t="s">
        <v>1514</v>
      </c>
      <c r="C954" s="520" t="s">
        <v>213</v>
      </c>
      <c r="D954" s="472">
        <v>20.696000000000002</v>
      </c>
      <c r="E954" s="522">
        <v>19.298999999999999</v>
      </c>
      <c r="F954" s="523" t="s">
        <v>4166</v>
      </c>
      <c r="G954" s="524" t="s">
        <v>3663</v>
      </c>
      <c r="H954" s="525" t="s">
        <v>3666</v>
      </c>
      <c r="I954" s="474"/>
      <c r="J954" s="475" t="s">
        <v>5134</v>
      </c>
    </row>
    <row r="955" spans="1:10" ht="14.25" customHeight="1">
      <c r="A955" s="520" t="s">
        <v>1515</v>
      </c>
      <c r="B955" s="521" t="s">
        <v>1516</v>
      </c>
      <c r="C955" s="520" t="s">
        <v>213</v>
      </c>
      <c r="D955" s="472">
        <v>20.696000000000002</v>
      </c>
      <c r="E955" s="522">
        <v>19.298999999999999</v>
      </c>
      <c r="F955" s="523" t="s">
        <v>4166</v>
      </c>
      <c r="G955" s="524" t="s">
        <v>3663</v>
      </c>
      <c r="H955" s="525" t="s">
        <v>3666</v>
      </c>
      <c r="I955" s="474"/>
      <c r="J955" s="475" t="s">
        <v>5135</v>
      </c>
    </row>
    <row r="956" spans="1:10" ht="14.25" customHeight="1">
      <c r="A956" s="520" t="s">
        <v>1517</v>
      </c>
      <c r="B956" s="521" t="s">
        <v>1518</v>
      </c>
      <c r="C956" s="520" t="s">
        <v>213</v>
      </c>
      <c r="D956" s="472">
        <v>20.696000000000002</v>
      </c>
      <c r="E956" s="522">
        <v>19.298999999999999</v>
      </c>
      <c r="F956" s="523" t="s">
        <v>4166</v>
      </c>
      <c r="G956" s="524" t="s">
        <v>3663</v>
      </c>
      <c r="H956" s="525" t="s">
        <v>3666</v>
      </c>
      <c r="I956" s="474"/>
      <c r="J956" s="475" t="s">
        <v>5136</v>
      </c>
    </row>
    <row r="957" spans="1:10" ht="14.25" customHeight="1">
      <c r="A957" s="520" t="s">
        <v>1519</v>
      </c>
      <c r="B957" s="521" t="s">
        <v>1520</v>
      </c>
      <c r="C957" s="520" t="s">
        <v>213</v>
      </c>
      <c r="D957" s="472">
        <v>20.696000000000002</v>
      </c>
      <c r="E957" s="522">
        <v>19.298999999999999</v>
      </c>
      <c r="F957" s="523" t="s">
        <v>4166</v>
      </c>
      <c r="G957" s="524" t="s">
        <v>3663</v>
      </c>
      <c r="H957" s="525" t="s">
        <v>3666</v>
      </c>
      <c r="I957" s="474"/>
      <c r="J957" s="475" t="s">
        <v>5137</v>
      </c>
    </row>
    <row r="958" spans="1:10" ht="14.25" customHeight="1">
      <c r="A958" s="520" t="s">
        <v>1521</v>
      </c>
      <c r="B958" s="521" t="s">
        <v>1522</v>
      </c>
      <c r="C958" s="520" t="s">
        <v>213</v>
      </c>
      <c r="D958" s="472">
        <v>20.696000000000002</v>
      </c>
      <c r="E958" s="522">
        <v>19.298999999999999</v>
      </c>
      <c r="F958" s="523" t="s">
        <v>4166</v>
      </c>
      <c r="G958" s="524" t="s">
        <v>3663</v>
      </c>
      <c r="H958" s="525" t="s">
        <v>3666</v>
      </c>
      <c r="I958" s="474"/>
      <c r="J958" s="475" t="s">
        <v>5138</v>
      </c>
    </row>
    <row r="959" spans="1:10" ht="14.25" customHeight="1">
      <c r="A959" s="520" t="s">
        <v>1523</v>
      </c>
      <c r="B959" s="521" t="s">
        <v>1524</v>
      </c>
      <c r="C959" s="520" t="s">
        <v>213</v>
      </c>
      <c r="D959" s="472">
        <v>20.696000000000002</v>
      </c>
      <c r="E959" s="522">
        <v>19.298999999999999</v>
      </c>
      <c r="F959" s="523" t="s">
        <v>4166</v>
      </c>
      <c r="G959" s="524" t="s">
        <v>3663</v>
      </c>
      <c r="H959" s="525" t="s">
        <v>3666</v>
      </c>
      <c r="I959" s="474"/>
      <c r="J959" s="475" t="s">
        <v>5139</v>
      </c>
    </row>
    <row r="960" spans="1:10" ht="14.25" customHeight="1">
      <c r="A960" s="520" t="s">
        <v>1525</v>
      </c>
      <c r="B960" s="521" t="s">
        <v>1526</v>
      </c>
      <c r="C960" s="520" t="s">
        <v>213</v>
      </c>
      <c r="D960" s="472">
        <v>20.696000000000002</v>
      </c>
      <c r="E960" s="522">
        <v>19.298999999999999</v>
      </c>
      <c r="F960" s="523">
        <v>9.1999999999999993</v>
      </c>
      <c r="G960" s="524" t="s">
        <v>3663</v>
      </c>
      <c r="H960" s="525" t="s">
        <v>3666</v>
      </c>
      <c r="I960" s="474"/>
      <c r="J960" s="475" t="s">
        <v>5140</v>
      </c>
    </row>
    <row r="961" spans="1:10" ht="14.25" customHeight="1">
      <c r="A961" s="520" t="s">
        <v>1527</v>
      </c>
      <c r="B961" s="521" t="s">
        <v>1528</v>
      </c>
      <c r="C961" s="520" t="s">
        <v>213</v>
      </c>
      <c r="D961" s="472">
        <v>20.696000000000002</v>
      </c>
      <c r="E961" s="522">
        <v>19.298999999999999</v>
      </c>
      <c r="F961" s="523">
        <v>9.1999999999999993</v>
      </c>
      <c r="G961" s="524" t="s">
        <v>3663</v>
      </c>
      <c r="H961" s="525" t="s">
        <v>3666</v>
      </c>
      <c r="I961" s="474"/>
      <c r="J961" s="475" t="s">
        <v>5141</v>
      </c>
    </row>
    <row r="962" spans="1:10" ht="14.25" customHeight="1">
      <c r="A962" s="520" t="s">
        <v>1529</v>
      </c>
      <c r="B962" s="521" t="s">
        <v>1530</v>
      </c>
      <c r="C962" s="520" t="s">
        <v>213</v>
      </c>
      <c r="D962" s="472">
        <v>20.696000000000002</v>
      </c>
      <c r="E962" s="522">
        <v>19.298999999999999</v>
      </c>
      <c r="F962" s="523">
        <v>9.1999999999999993</v>
      </c>
      <c r="G962" s="524" t="s">
        <v>3663</v>
      </c>
      <c r="H962" s="525" t="s">
        <v>3666</v>
      </c>
      <c r="I962" s="474"/>
      <c r="J962" s="475" t="s">
        <v>5142</v>
      </c>
    </row>
    <row r="963" spans="1:10" ht="14.25" customHeight="1">
      <c r="A963" s="520" t="s">
        <v>1531</v>
      </c>
      <c r="B963" s="521" t="s">
        <v>1532</v>
      </c>
      <c r="C963" s="520" t="s">
        <v>213</v>
      </c>
      <c r="D963" s="472">
        <v>20.696000000000002</v>
      </c>
      <c r="E963" s="522">
        <v>19.298999999999999</v>
      </c>
      <c r="F963" s="523">
        <v>9.1999999999999993</v>
      </c>
      <c r="G963" s="524" t="s">
        <v>3663</v>
      </c>
      <c r="H963" s="525" t="s">
        <v>3666</v>
      </c>
      <c r="I963" s="474"/>
      <c r="J963" s="475" t="s">
        <v>5143</v>
      </c>
    </row>
    <row r="964" spans="1:10" ht="14.25" customHeight="1">
      <c r="A964" s="520" t="s">
        <v>1533</v>
      </c>
      <c r="B964" s="521" t="s">
        <v>1534</v>
      </c>
      <c r="C964" s="520" t="s">
        <v>213</v>
      </c>
      <c r="D964" s="472">
        <v>20.696000000000002</v>
      </c>
      <c r="E964" s="522">
        <v>19.298999999999999</v>
      </c>
      <c r="F964" s="523">
        <v>9.1999999999999993</v>
      </c>
      <c r="G964" s="524" t="s">
        <v>3663</v>
      </c>
      <c r="H964" s="525" t="s">
        <v>3666</v>
      </c>
      <c r="I964" s="474"/>
      <c r="J964" s="475" t="s">
        <v>5144</v>
      </c>
    </row>
    <row r="965" spans="1:10" ht="14.25" customHeight="1">
      <c r="A965" s="520" t="s">
        <v>1535</v>
      </c>
      <c r="B965" s="521" t="s">
        <v>1536</v>
      </c>
      <c r="C965" s="520" t="s">
        <v>213</v>
      </c>
      <c r="D965" s="472">
        <v>20.696000000000002</v>
      </c>
      <c r="E965" s="522">
        <v>19.298999999999999</v>
      </c>
      <c r="F965" s="523">
        <v>9.1999999999999993</v>
      </c>
      <c r="G965" s="524" t="s">
        <v>3663</v>
      </c>
      <c r="H965" s="525" t="s">
        <v>3666</v>
      </c>
      <c r="I965" s="474"/>
      <c r="J965" s="475" t="s">
        <v>5145</v>
      </c>
    </row>
    <row r="966" spans="1:10" ht="14.25" customHeight="1">
      <c r="A966" s="520" t="s">
        <v>1537</v>
      </c>
      <c r="B966" s="521" t="s">
        <v>1538</v>
      </c>
      <c r="C966" s="520" t="s">
        <v>213</v>
      </c>
      <c r="D966" s="472">
        <v>20.696000000000002</v>
      </c>
      <c r="E966" s="522">
        <v>19.298999999999999</v>
      </c>
      <c r="F966" s="523" t="s">
        <v>4166</v>
      </c>
      <c r="G966" s="524" t="s">
        <v>3663</v>
      </c>
      <c r="H966" s="525" t="s">
        <v>3666</v>
      </c>
      <c r="I966" s="474"/>
      <c r="J966" s="475" t="s">
        <v>5146</v>
      </c>
    </row>
    <row r="967" spans="1:10" ht="14.25" customHeight="1">
      <c r="A967" s="520" t="s">
        <v>1539</v>
      </c>
      <c r="B967" s="521" t="s">
        <v>1540</v>
      </c>
      <c r="C967" s="520" t="s">
        <v>213</v>
      </c>
      <c r="D967" s="472">
        <v>20.696000000000002</v>
      </c>
      <c r="E967" s="522">
        <v>19.298999999999999</v>
      </c>
      <c r="F967" s="523" t="s">
        <v>4166</v>
      </c>
      <c r="G967" s="524" t="s">
        <v>3663</v>
      </c>
      <c r="H967" s="525" t="s">
        <v>3666</v>
      </c>
      <c r="I967" s="474"/>
      <c r="J967" s="475" t="s">
        <v>5147</v>
      </c>
    </row>
    <row r="968" spans="1:10" ht="14.25" customHeight="1">
      <c r="A968" s="520" t="s">
        <v>1541</v>
      </c>
      <c r="B968" s="521" t="s">
        <v>1542</v>
      </c>
      <c r="C968" s="520" t="s">
        <v>213</v>
      </c>
      <c r="D968" s="472">
        <v>20.696000000000002</v>
      </c>
      <c r="E968" s="522">
        <v>19.298999999999999</v>
      </c>
      <c r="F968" s="523" t="s">
        <v>4166</v>
      </c>
      <c r="G968" s="524" t="s">
        <v>3663</v>
      </c>
      <c r="H968" s="525" t="s">
        <v>3666</v>
      </c>
      <c r="I968" s="474"/>
      <c r="J968" s="475" t="s">
        <v>5148</v>
      </c>
    </row>
    <row r="969" spans="1:10" ht="14.25" customHeight="1">
      <c r="A969" s="520" t="s">
        <v>1543</v>
      </c>
      <c r="B969" s="521" t="s">
        <v>1544</v>
      </c>
      <c r="C969" s="520" t="s">
        <v>213</v>
      </c>
      <c r="D969" s="472">
        <v>20.696000000000002</v>
      </c>
      <c r="E969" s="522">
        <v>19.298999999999999</v>
      </c>
      <c r="F969" s="523" t="s">
        <v>4166</v>
      </c>
      <c r="G969" s="524" t="s">
        <v>3663</v>
      </c>
      <c r="H969" s="525" t="s">
        <v>3666</v>
      </c>
      <c r="I969" s="474"/>
      <c r="J969" s="475" t="s">
        <v>5149</v>
      </c>
    </row>
    <row r="970" spans="1:10" ht="14.25" customHeight="1">
      <c r="A970" s="520" t="s">
        <v>1545</v>
      </c>
      <c r="B970" s="521" t="s">
        <v>1546</v>
      </c>
      <c r="C970" s="520" t="s">
        <v>213</v>
      </c>
      <c r="D970" s="472">
        <v>20.696000000000002</v>
      </c>
      <c r="E970" s="522">
        <v>19.298999999999999</v>
      </c>
      <c r="F970" s="523" t="s">
        <v>4166</v>
      </c>
      <c r="G970" s="524" t="s">
        <v>3663</v>
      </c>
      <c r="H970" s="525" t="s">
        <v>3666</v>
      </c>
      <c r="I970" s="474"/>
      <c r="J970" s="475" t="s">
        <v>5150</v>
      </c>
    </row>
    <row r="971" spans="1:10" ht="14.25" customHeight="1">
      <c r="A971" s="520" t="s">
        <v>1547</v>
      </c>
      <c r="B971" s="521" t="s">
        <v>1548</v>
      </c>
      <c r="C971" s="520" t="s">
        <v>213</v>
      </c>
      <c r="D971" s="472">
        <v>20.696000000000002</v>
      </c>
      <c r="E971" s="522">
        <v>19.298999999999999</v>
      </c>
      <c r="F971" s="523" t="s">
        <v>4166</v>
      </c>
      <c r="G971" s="524" t="s">
        <v>3663</v>
      </c>
      <c r="H971" s="525" t="s">
        <v>3666</v>
      </c>
      <c r="I971" s="474"/>
      <c r="J971" s="475" t="s">
        <v>5151</v>
      </c>
    </row>
    <row r="972" spans="1:10" ht="14.25" customHeight="1">
      <c r="A972" s="520" t="s">
        <v>1549</v>
      </c>
      <c r="B972" s="521" t="s">
        <v>1550</v>
      </c>
      <c r="C972" s="520" t="s">
        <v>213</v>
      </c>
      <c r="D972" s="472">
        <v>20.696000000000002</v>
      </c>
      <c r="E972" s="522">
        <v>19.298999999999999</v>
      </c>
      <c r="F972" s="523" t="s">
        <v>4166</v>
      </c>
      <c r="G972" s="524" t="s">
        <v>3663</v>
      </c>
      <c r="H972" s="525" t="s">
        <v>3666</v>
      </c>
      <c r="I972" s="474"/>
      <c r="J972" s="475" t="s">
        <v>5152</v>
      </c>
    </row>
    <row r="973" spans="1:10" ht="14.25" customHeight="1">
      <c r="A973" s="520" t="s">
        <v>1551</v>
      </c>
      <c r="B973" s="521" t="s">
        <v>1552</v>
      </c>
      <c r="C973" s="520" t="s">
        <v>213</v>
      </c>
      <c r="D973" s="472">
        <v>20.696000000000002</v>
      </c>
      <c r="E973" s="522">
        <v>19.298999999999999</v>
      </c>
      <c r="F973" s="523" t="s">
        <v>4166</v>
      </c>
      <c r="G973" s="524" t="s">
        <v>3663</v>
      </c>
      <c r="H973" s="525" t="s">
        <v>3666</v>
      </c>
      <c r="I973" s="474"/>
      <c r="J973" s="475" t="s">
        <v>5153</v>
      </c>
    </row>
    <row r="974" spans="1:10" ht="14.25" customHeight="1">
      <c r="A974" s="520" t="s">
        <v>1553</v>
      </c>
      <c r="B974" s="521" t="s">
        <v>1554</v>
      </c>
      <c r="C974" s="520" t="s">
        <v>213</v>
      </c>
      <c r="D974" s="472">
        <v>20.696000000000002</v>
      </c>
      <c r="E974" s="522">
        <v>19.298999999999999</v>
      </c>
      <c r="F974" s="523" t="s">
        <v>4166</v>
      </c>
      <c r="G974" s="524" t="s">
        <v>3663</v>
      </c>
      <c r="H974" s="525" t="s">
        <v>3666</v>
      </c>
      <c r="I974" s="474"/>
      <c r="J974" s="475" t="s">
        <v>5154</v>
      </c>
    </row>
    <row r="975" spans="1:10" ht="14.25" customHeight="1">
      <c r="A975" s="520" t="s">
        <v>1555</v>
      </c>
      <c r="B975" s="521" t="s">
        <v>1556</v>
      </c>
      <c r="C975" s="520" t="s">
        <v>213</v>
      </c>
      <c r="D975" s="472">
        <v>20.696000000000002</v>
      </c>
      <c r="E975" s="522">
        <v>19.298999999999999</v>
      </c>
      <c r="F975" s="523" t="s">
        <v>4166</v>
      </c>
      <c r="G975" s="524" t="s">
        <v>3663</v>
      </c>
      <c r="H975" s="525" t="s">
        <v>3666</v>
      </c>
      <c r="I975" s="474"/>
      <c r="J975" s="475" t="s">
        <v>5155</v>
      </c>
    </row>
    <row r="976" spans="1:10" ht="14.25" customHeight="1">
      <c r="A976" s="520" t="s">
        <v>1557</v>
      </c>
      <c r="B976" s="521" t="s">
        <v>1558</v>
      </c>
      <c r="C976" s="520" t="s">
        <v>213</v>
      </c>
      <c r="D976" s="472">
        <v>20.696000000000002</v>
      </c>
      <c r="E976" s="522">
        <v>19.298999999999999</v>
      </c>
      <c r="F976" s="523" t="s">
        <v>4166</v>
      </c>
      <c r="G976" s="524" t="s">
        <v>3663</v>
      </c>
      <c r="H976" s="525" t="s">
        <v>3666</v>
      </c>
      <c r="I976" s="474"/>
      <c r="J976" s="475" t="s">
        <v>5156</v>
      </c>
    </row>
    <row r="977" spans="1:10" ht="14.25" customHeight="1">
      <c r="A977" s="520" t="s">
        <v>1559</v>
      </c>
      <c r="B977" s="521" t="s">
        <v>1560</v>
      </c>
      <c r="C977" s="520" t="s">
        <v>213</v>
      </c>
      <c r="D977" s="472">
        <v>20.696000000000002</v>
      </c>
      <c r="E977" s="522">
        <v>19.298999999999999</v>
      </c>
      <c r="F977" s="523" t="s">
        <v>4166</v>
      </c>
      <c r="G977" s="524" t="s">
        <v>3663</v>
      </c>
      <c r="H977" s="525" t="s">
        <v>3666</v>
      </c>
      <c r="I977" s="474"/>
      <c r="J977" s="475" t="s">
        <v>5157</v>
      </c>
    </row>
    <row r="978" spans="1:10" ht="14.25" customHeight="1">
      <c r="A978" s="520" t="s">
        <v>1561</v>
      </c>
      <c r="B978" s="521" t="s">
        <v>1562</v>
      </c>
      <c r="C978" s="520" t="s">
        <v>213</v>
      </c>
      <c r="D978" s="472">
        <v>20.696000000000002</v>
      </c>
      <c r="E978" s="522">
        <v>19.298999999999999</v>
      </c>
      <c r="F978" s="523" t="s">
        <v>4166</v>
      </c>
      <c r="G978" s="524" t="s">
        <v>3663</v>
      </c>
      <c r="H978" s="525" t="s">
        <v>3666</v>
      </c>
      <c r="I978" s="474"/>
      <c r="J978" s="475" t="s">
        <v>5158</v>
      </c>
    </row>
    <row r="979" spans="1:10" ht="14.25" customHeight="1">
      <c r="A979" s="520" t="s">
        <v>1563</v>
      </c>
      <c r="B979" s="521" t="s">
        <v>1564</v>
      </c>
      <c r="C979" s="520" t="s">
        <v>213</v>
      </c>
      <c r="D979" s="472">
        <v>20.696000000000002</v>
      </c>
      <c r="E979" s="522">
        <v>19.298999999999999</v>
      </c>
      <c r="F979" s="523" t="s">
        <v>4166</v>
      </c>
      <c r="G979" s="524" t="s">
        <v>3663</v>
      </c>
      <c r="H979" s="525" t="s">
        <v>3666</v>
      </c>
      <c r="I979" s="474"/>
      <c r="J979" s="475" t="s">
        <v>5159</v>
      </c>
    </row>
    <row r="980" spans="1:10" ht="14.25" customHeight="1">
      <c r="A980" s="520" t="s">
        <v>1565</v>
      </c>
      <c r="B980" s="521" t="s">
        <v>1566</v>
      </c>
      <c r="C980" s="520" t="s">
        <v>213</v>
      </c>
      <c r="D980" s="472">
        <v>20.696000000000002</v>
      </c>
      <c r="E980" s="522">
        <v>19.298999999999999</v>
      </c>
      <c r="F980" s="523" t="s">
        <v>4166</v>
      </c>
      <c r="G980" s="524" t="s">
        <v>3663</v>
      </c>
      <c r="H980" s="525" t="s">
        <v>3666</v>
      </c>
      <c r="I980" s="474"/>
      <c r="J980" s="475" t="s">
        <v>5160</v>
      </c>
    </row>
    <row r="981" spans="1:10" ht="14.25" customHeight="1">
      <c r="A981" s="520" t="s">
        <v>1567</v>
      </c>
      <c r="B981" s="521" t="s">
        <v>1568</v>
      </c>
      <c r="C981" s="520" t="s">
        <v>213</v>
      </c>
      <c r="D981" s="472">
        <v>20.696000000000002</v>
      </c>
      <c r="E981" s="522">
        <v>19.298999999999999</v>
      </c>
      <c r="F981" s="523" t="s">
        <v>4166</v>
      </c>
      <c r="G981" s="524" t="s">
        <v>3663</v>
      </c>
      <c r="H981" s="525" t="s">
        <v>3666</v>
      </c>
      <c r="I981" s="474"/>
      <c r="J981" s="475" t="s">
        <v>5161</v>
      </c>
    </row>
    <row r="982" spans="1:10" ht="14.25" customHeight="1">
      <c r="A982" s="520" t="s">
        <v>1569</v>
      </c>
      <c r="B982" s="521" t="s">
        <v>1570</v>
      </c>
      <c r="C982" s="520" t="s">
        <v>213</v>
      </c>
      <c r="D982" s="472">
        <v>20.696000000000002</v>
      </c>
      <c r="E982" s="522">
        <v>19.298999999999999</v>
      </c>
      <c r="F982" s="523" t="s">
        <v>4166</v>
      </c>
      <c r="G982" s="524" t="s">
        <v>3663</v>
      </c>
      <c r="H982" s="525" t="s">
        <v>3666</v>
      </c>
      <c r="I982" s="474"/>
      <c r="J982" s="475" t="s">
        <v>5162</v>
      </c>
    </row>
    <row r="983" spans="1:10" ht="14.25" customHeight="1">
      <c r="A983" s="520" t="s">
        <v>1571</v>
      </c>
      <c r="B983" s="521" t="s">
        <v>1572</v>
      </c>
      <c r="C983" s="520" t="s">
        <v>213</v>
      </c>
      <c r="D983" s="472">
        <v>20.696000000000002</v>
      </c>
      <c r="E983" s="522">
        <v>19.298999999999999</v>
      </c>
      <c r="F983" s="523" t="s">
        <v>4166</v>
      </c>
      <c r="G983" s="524" t="s">
        <v>3663</v>
      </c>
      <c r="H983" s="525" t="s">
        <v>3666</v>
      </c>
      <c r="I983" s="474"/>
      <c r="J983" s="475" t="s">
        <v>5163</v>
      </c>
    </row>
    <row r="984" spans="1:10" ht="14.25" customHeight="1">
      <c r="A984" s="520" t="s">
        <v>1573</v>
      </c>
      <c r="B984" s="521" t="s">
        <v>1574</v>
      </c>
      <c r="C984" s="520" t="s">
        <v>213</v>
      </c>
      <c r="D984" s="472">
        <v>20.696000000000002</v>
      </c>
      <c r="E984" s="522">
        <v>19.298999999999999</v>
      </c>
      <c r="F984" s="523" t="s">
        <v>4166</v>
      </c>
      <c r="G984" s="524" t="s">
        <v>3663</v>
      </c>
      <c r="H984" s="525" t="s">
        <v>3666</v>
      </c>
      <c r="I984" s="474"/>
      <c r="J984" s="475" t="s">
        <v>5164</v>
      </c>
    </row>
    <row r="985" spans="1:10" ht="14.25" customHeight="1">
      <c r="A985" s="520" t="s">
        <v>1575</v>
      </c>
      <c r="B985" s="521" t="s">
        <v>1576</v>
      </c>
      <c r="C985" s="520" t="s">
        <v>213</v>
      </c>
      <c r="D985" s="472">
        <v>20.696000000000002</v>
      </c>
      <c r="E985" s="522">
        <v>19.298999999999999</v>
      </c>
      <c r="F985" s="523" t="s">
        <v>4166</v>
      </c>
      <c r="G985" s="524" t="s">
        <v>3663</v>
      </c>
      <c r="H985" s="525" t="s">
        <v>3666</v>
      </c>
      <c r="I985" s="474"/>
      <c r="J985" s="475" t="s">
        <v>5165</v>
      </c>
    </row>
    <row r="986" spans="1:10" ht="14.25" customHeight="1">
      <c r="A986" s="520" t="s">
        <v>1577</v>
      </c>
      <c r="B986" s="521" t="s">
        <v>1578</v>
      </c>
      <c r="C986" s="520" t="s">
        <v>213</v>
      </c>
      <c r="D986" s="472">
        <v>20.696000000000002</v>
      </c>
      <c r="E986" s="522">
        <v>19.298999999999999</v>
      </c>
      <c r="F986" s="523" t="s">
        <v>4166</v>
      </c>
      <c r="G986" s="524" t="s">
        <v>3663</v>
      </c>
      <c r="H986" s="525" t="s">
        <v>3666</v>
      </c>
      <c r="I986" s="474"/>
      <c r="J986" s="475" t="s">
        <v>5166</v>
      </c>
    </row>
    <row r="987" spans="1:10" ht="14.25" customHeight="1">
      <c r="A987" s="520" t="s">
        <v>3913</v>
      </c>
      <c r="B987" s="521" t="s">
        <v>1550</v>
      </c>
      <c r="C987" s="520" t="s">
        <v>213</v>
      </c>
      <c r="D987" s="472">
        <v>20.696000000000002</v>
      </c>
      <c r="E987" s="522">
        <v>19.298999999999999</v>
      </c>
      <c r="F987" s="523" t="s">
        <v>4166</v>
      </c>
      <c r="G987" s="524" t="s">
        <v>3663</v>
      </c>
      <c r="H987" s="525" t="s">
        <v>3666</v>
      </c>
      <c r="I987" s="474"/>
      <c r="J987" s="475" t="s">
        <v>5167</v>
      </c>
    </row>
    <row r="988" spans="1:10" ht="14.25" customHeight="1">
      <c r="A988" s="520" t="s">
        <v>1579</v>
      </c>
      <c r="B988" s="521" t="s">
        <v>1580</v>
      </c>
      <c r="C988" s="520" t="s">
        <v>213</v>
      </c>
      <c r="D988" s="472">
        <v>20.696000000000002</v>
      </c>
      <c r="E988" s="522">
        <v>19.298999999999999</v>
      </c>
      <c r="F988" s="523" t="s">
        <v>4166</v>
      </c>
      <c r="G988" s="524" t="s">
        <v>3663</v>
      </c>
      <c r="H988" s="525" t="s">
        <v>3666</v>
      </c>
      <c r="I988" s="474"/>
      <c r="J988" s="475" t="s">
        <v>5168</v>
      </c>
    </row>
    <row r="989" spans="1:10" ht="14.25" customHeight="1">
      <c r="A989" s="520" t="s">
        <v>1581</v>
      </c>
      <c r="B989" s="521" t="s">
        <v>1582</v>
      </c>
      <c r="C989" s="520" t="s">
        <v>213</v>
      </c>
      <c r="D989" s="472">
        <v>20.696000000000002</v>
      </c>
      <c r="E989" s="522">
        <v>19.298999999999999</v>
      </c>
      <c r="F989" s="523" t="s">
        <v>4166</v>
      </c>
      <c r="G989" s="524" t="s">
        <v>3663</v>
      </c>
      <c r="H989" s="525" t="s">
        <v>3666</v>
      </c>
      <c r="I989" s="474"/>
      <c r="J989" s="475" t="s">
        <v>5169</v>
      </c>
    </row>
    <row r="990" spans="1:10" ht="14.25" customHeight="1">
      <c r="A990" s="520" t="s">
        <v>1583</v>
      </c>
      <c r="B990" s="521" t="s">
        <v>1584</v>
      </c>
      <c r="C990" s="520" t="s">
        <v>213</v>
      </c>
      <c r="D990" s="472">
        <v>26.581</v>
      </c>
      <c r="E990" s="522">
        <v>24.782</v>
      </c>
      <c r="F990" s="523" t="s">
        <v>4166</v>
      </c>
      <c r="G990" s="524" t="s">
        <v>3663</v>
      </c>
      <c r="H990" s="525" t="s">
        <v>3666</v>
      </c>
      <c r="I990" s="474"/>
      <c r="J990" s="475" t="s">
        <v>5170</v>
      </c>
    </row>
    <row r="991" spans="1:10" ht="14.25" customHeight="1">
      <c r="A991" s="520" t="s">
        <v>1585</v>
      </c>
      <c r="B991" s="521" t="s">
        <v>1586</v>
      </c>
      <c r="C991" s="520" t="s">
        <v>213</v>
      </c>
      <c r="D991" s="472">
        <v>20.696000000000002</v>
      </c>
      <c r="E991" s="522">
        <v>19.298999999999999</v>
      </c>
      <c r="F991" s="523" t="s">
        <v>4166</v>
      </c>
      <c r="G991" s="524" t="s">
        <v>3663</v>
      </c>
      <c r="H991" s="525" t="s">
        <v>3666</v>
      </c>
      <c r="I991" s="474"/>
      <c r="J991" s="475" t="s">
        <v>5171</v>
      </c>
    </row>
    <row r="992" spans="1:10" ht="14.25" customHeight="1">
      <c r="A992" s="520" t="s">
        <v>1587</v>
      </c>
      <c r="B992" s="521" t="s">
        <v>1588</v>
      </c>
      <c r="C992" s="520" t="s">
        <v>213</v>
      </c>
      <c r="D992" s="472">
        <v>20.696000000000002</v>
      </c>
      <c r="E992" s="522">
        <v>19.298999999999999</v>
      </c>
      <c r="F992" s="523" t="s">
        <v>4166</v>
      </c>
      <c r="G992" s="524" t="s">
        <v>3663</v>
      </c>
      <c r="H992" s="525" t="s">
        <v>3666</v>
      </c>
      <c r="I992" s="474"/>
      <c r="J992" s="475" t="s">
        <v>5172</v>
      </c>
    </row>
    <row r="993" spans="1:10" ht="14.25" customHeight="1">
      <c r="A993" s="520" t="s">
        <v>1589</v>
      </c>
      <c r="B993" s="521" t="s">
        <v>1590</v>
      </c>
      <c r="C993" s="520" t="s">
        <v>213</v>
      </c>
      <c r="D993" s="472">
        <v>20.696000000000002</v>
      </c>
      <c r="E993" s="522">
        <v>19.298999999999999</v>
      </c>
      <c r="F993" s="568"/>
      <c r="G993" s="524" t="s">
        <v>3663</v>
      </c>
      <c r="H993" s="525" t="s">
        <v>3666</v>
      </c>
      <c r="I993" s="474"/>
      <c r="J993" s="475" t="s">
        <v>5173</v>
      </c>
    </row>
    <row r="994" spans="1:10" ht="14.25" customHeight="1">
      <c r="A994" s="520" t="s">
        <v>1591</v>
      </c>
      <c r="B994" s="521" t="s">
        <v>1592</v>
      </c>
      <c r="C994" s="520" t="s">
        <v>213</v>
      </c>
      <c r="D994" s="472">
        <v>20.696000000000002</v>
      </c>
      <c r="E994" s="522">
        <v>19.298999999999999</v>
      </c>
      <c r="F994" s="523" t="s">
        <v>4166</v>
      </c>
      <c r="G994" s="524" t="s">
        <v>3663</v>
      </c>
      <c r="H994" s="525" t="s">
        <v>3666</v>
      </c>
      <c r="I994" s="474"/>
      <c r="J994" s="475" t="s">
        <v>5174</v>
      </c>
    </row>
    <row r="995" spans="1:10" ht="14.25" customHeight="1">
      <c r="A995" s="520" t="s">
        <v>1593</v>
      </c>
      <c r="B995" s="521" t="s">
        <v>1594</v>
      </c>
      <c r="C995" s="520" t="s">
        <v>213</v>
      </c>
      <c r="D995" s="472">
        <v>20.696000000000002</v>
      </c>
      <c r="E995" s="522">
        <v>19.298999999999999</v>
      </c>
      <c r="F995" s="523" t="s">
        <v>4166</v>
      </c>
      <c r="G995" s="524" t="s">
        <v>3663</v>
      </c>
      <c r="H995" s="525" t="s">
        <v>3666</v>
      </c>
      <c r="I995" s="474"/>
      <c r="J995" s="475" t="s">
        <v>5175</v>
      </c>
    </row>
    <row r="996" spans="1:10" ht="14.25" customHeight="1">
      <c r="A996" s="520" t="s">
        <v>1595</v>
      </c>
      <c r="B996" s="521" t="s">
        <v>1596</v>
      </c>
      <c r="C996" s="520" t="s">
        <v>213</v>
      </c>
      <c r="D996" s="472">
        <v>20.696000000000002</v>
      </c>
      <c r="E996" s="522">
        <v>19.298999999999999</v>
      </c>
      <c r="F996" s="523" t="s">
        <v>4166</v>
      </c>
      <c r="G996" s="524" t="s">
        <v>3663</v>
      </c>
      <c r="H996" s="525" t="s">
        <v>3666</v>
      </c>
      <c r="I996" s="474"/>
      <c r="J996" s="475" t="s">
        <v>5176</v>
      </c>
    </row>
    <row r="997" spans="1:10" ht="14.25" customHeight="1">
      <c r="A997" s="520" t="s">
        <v>1597</v>
      </c>
      <c r="B997" s="521" t="s">
        <v>1598</v>
      </c>
      <c r="C997" s="520" t="s">
        <v>213</v>
      </c>
      <c r="D997" s="472">
        <v>20.696000000000002</v>
      </c>
      <c r="E997" s="522">
        <v>19.298999999999999</v>
      </c>
      <c r="F997" s="523" t="s">
        <v>4166</v>
      </c>
      <c r="G997" s="524" t="s">
        <v>3663</v>
      </c>
      <c r="H997" s="525" t="s">
        <v>3666</v>
      </c>
      <c r="I997" s="474"/>
      <c r="J997" s="475" t="s">
        <v>5177</v>
      </c>
    </row>
    <row r="998" spans="1:10" ht="14.25" customHeight="1">
      <c r="A998" s="520" t="s">
        <v>1599</v>
      </c>
      <c r="B998" s="521" t="s">
        <v>1600</v>
      </c>
      <c r="C998" s="520" t="s">
        <v>213</v>
      </c>
      <c r="D998" s="472">
        <v>20.696000000000002</v>
      </c>
      <c r="E998" s="522">
        <v>19.298999999999999</v>
      </c>
      <c r="F998" s="523" t="s">
        <v>4166</v>
      </c>
      <c r="G998" s="524" t="s">
        <v>3663</v>
      </c>
      <c r="H998" s="525" t="s">
        <v>3666</v>
      </c>
      <c r="I998" s="474"/>
      <c r="J998" s="475" t="s">
        <v>5178</v>
      </c>
    </row>
    <row r="999" spans="1:10" ht="14.25" customHeight="1">
      <c r="A999" s="520" t="s">
        <v>1601</v>
      </c>
      <c r="B999" s="521" t="s">
        <v>1602</v>
      </c>
      <c r="C999" s="520" t="s">
        <v>213</v>
      </c>
      <c r="D999" s="472">
        <v>20.696000000000002</v>
      </c>
      <c r="E999" s="522">
        <v>19.298999999999999</v>
      </c>
      <c r="F999" s="523" t="s">
        <v>4166</v>
      </c>
      <c r="G999" s="524" t="s">
        <v>3663</v>
      </c>
      <c r="H999" s="525" t="s">
        <v>3666</v>
      </c>
      <c r="I999" s="474"/>
      <c r="J999" s="475" t="s">
        <v>5179</v>
      </c>
    </row>
    <row r="1000" spans="1:10" ht="14.25" customHeight="1">
      <c r="A1000" s="520" t="s">
        <v>1603</v>
      </c>
      <c r="B1000" s="521" t="s">
        <v>1604</v>
      </c>
      <c r="C1000" s="520" t="s">
        <v>213</v>
      </c>
      <c r="D1000" s="472">
        <v>20.696000000000002</v>
      </c>
      <c r="E1000" s="522">
        <v>19.298999999999999</v>
      </c>
      <c r="F1000" s="523" t="s">
        <v>4166</v>
      </c>
      <c r="G1000" s="524" t="s">
        <v>3663</v>
      </c>
      <c r="H1000" s="525" t="s">
        <v>3666</v>
      </c>
      <c r="I1000" s="474"/>
      <c r="J1000" s="475" t="s">
        <v>5180</v>
      </c>
    </row>
    <row r="1001" spans="1:10" ht="14.25" customHeight="1">
      <c r="A1001" s="520" t="s">
        <v>1605</v>
      </c>
      <c r="B1001" s="521" t="s">
        <v>1606</v>
      </c>
      <c r="C1001" s="520" t="s">
        <v>213</v>
      </c>
      <c r="D1001" s="472">
        <v>20.696000000000002</v>
      </c>
      <c r="E1001" s="522">
        <v>19.298999999999999</v>
      </c>
      <c r="F1001" s="523" t="s">
        <v>4166</v>
      </c>
      <c r="G1001" s="524" t="s">
        <v>3663</v>
      </c>
      <c r="H1001" s="525" t="s">
        <v>3666</v>
      </c>
      <c r="I1001" s="474"/>
      <c r="J1001" s="475" t="s">
        <v>5181</v>
      </c>
    </row>
    <row r="1002" spans="1:10" ht="14.25" customHeight="1">
      <c r="A1002" s="520" t="s">
        <v>1607</v>
      </c>
      <c r="B1002" s="521" t="s">
        <v>1608</v>
      </c>
      <c r="C1002" s="520" t="s">
        <v>213</v>
      </c>
      <c r="D1002" s="472">
        <v>20.696000000000002</v>
      </c>
      <c r="E1002" s="522">
        <v>19.298999999999999</v>
      </c>
      <c r="F1002" s="523" t="s">
        <v>4166</v>
      </c>
      <c r="G1002" s="524" t="s">
        <v>3663</v>
      </c>
      <c r="H1002" s="525" t="s">
        <v>3666</v>
      </c>
      <c r="I1002" s="474"/>
      <c r="J1002" s="475" t="s">
        <v>5182</v>
      </c>
    </row>
    <row r="1003" spans="1:10" ht="14.25" customHeight="1">
      <c r="A1003" s="520" t="s">
        <v>1609</v>
      </c>
      <c r="B1003" s="521" t="s">
        <v>1610</v>
      </c>
      <c r="C1003" s="520" t="s">
        <v>213</v>
      </c>
      <c r="D1003" s="472">
        <v>20.696000000000002</v>
      </c>
      <c r="E1003" s="522">
        <v>19.298999999999999</v>
      </c>
      <c r="F1003" s="523" t="s">
        <v>4166</v>
      </c>
      <c r="G1003" s="524" t="s">
        <v>3663</v>
      </c>
      <c r="H1003" s="525" t="s">
        <v>3666</v>
      </c>
      <c r="I1003" s="474"/>
      <c r="J1003" s="475" t="s">
        <v>5183</v>
      </c>
    </row>
    <row r="1004" spans="1:10" ht="14.25" customHeight="1">
      <c r="A1004" s="520" t="s">
        <v>1611</v>
      </c>
      <c r="B1004" s="521" t="s">
        <v>1612</v>
      </c>
      <c r="C1004" s="520" t="s">
        <v>213</v>
      </c>
      <c r="D1004" s="472">
        <v>20.696000000000002</v>
      </c>
      <c r="E1004" s="522">
        <v>19.298999999999999</v>
      </c>
      <c r="F1004" s="523" t="s">
        <v>4166</v>
      </c>
      <c r="G1004" s="524" t="s">
        <v>3663</v>
      </c>
      <c r="H1004" s="525" t="s">
        <v>3666</v>
      </c>
      <c r="I1004" s="474"/>
      <c r="J1004" s="475" t="s">
        <v>5184</v>
      </c>
    </row>
    <row r="1005" spans="1:10" ht="14.25" customHeight="1">
      <c r="A1005" s="520" t="s">
        <v>1613</v>
      </c>
      <c r="B1005" s="521" t="s">
        <v>1614</v>
      </c>
      <c r="C1005" s="520" t="s">
        <v>213</v>
      </c>
      <c r="D1005" s="472">
        <v>20.696000000000002</v>
      </c>
      <c r="E1005" s="522">
        <v>19.298999999999999</v>
      </c>
      <c r="F1005" s="523" t="s">
        <v>4166</v>
      </c>
      <c r="G1005" s="524" t="s">
        <v>3663</v>
      </c>
      <c r="H1005" s="525" t="s">
        <v>3666</v>
      </c>
      <c r="I1005" s="474"/>
      <c r="J1005" s="475" t="s">
        <v>5185</v>
      </c>
    </row>
    <row r="1006" spans="1:10" ht="14.25" customHeight="1">
      <c r="A1006" s="520" t="s">
        <v>1615</v>
      </c>
      <c r="B1006" s="521" t="s">
        <v>1616</v>
      </c>
      <c r="C1006" s="520" t="s">
        <v>213</v>
      </c>
      <c r="D1006" s="472">
        <v>20.696000000000002</v>
      </c>
      <c r="E1006" s="522">
        <v>19.298999999999999</v>
      </c>
      <c r="F1006" s="523" t="s">
        <v>4166</v>
      </c>
      <c r="G1006" s="524" t="s">
        <v>3663</v>
      </c>
      <c r="H1006" s="525" t="s">
        <v>3666</v>
      </c>
      <c r="I1006" s="474"/>
      <c r="J1006" s="475" t="s">
        <v>5186</v>
      </c>
    </row>
    <row r="1007" spans="1:10" ht="14.25" customHeight="1">
      <c r="A1007" s="520" t="s">
        <v>1617</v>
      </c>
      <c r="B1007" s="521" t="s">
        <v>1618</v>
      </c>
      <c r="C1007" s="520" t="s">
        <v>213</v>
      </c>
      <c r="D1007" s="472">
        <v>20.696000000000002</v>
      </c>
      <c r="E1007" s="522">
        <v>19.298999999999999</v>
      </c>
      <c r="F1007" s="523" t="s">
        <v>4166</v>
      </c>
      <c r="G1007" s="524" t="s">
        <v>3663</v>
      </c>
      <c r="H1007" s="525" t="s">
        <v>3666</v>
      </c>
      <c r="I1007" s="474"/>
      <c r="J1007" s="475" t="s">
        <v>5187</v>
      </c>
    </row>
    <row r="1008" spans="1:10" ht="14.25" customHeight="1">
      <c r="A1008" s="520" t="s">
        <v>1619</v>
      </c>
      <c r="B1008" s="521" t="s">
        <v>1620</v>
      </c>
      <c r="C1008" s="520" t="s">
        <v>213</v>
      </c>
      <c r="D1008" s="472">
        <v>20.696000000000002</v>
      </c>
      <c r="E1008" s="522">
        <v>19.298999999999999</v>
      </c>
      <c r="F1008" s="523" t="s">
        <v>4166</v>
      </c>
      <c r="G1008" s="524" t="s">
        <v>3663</v>
      </c>
      <c r="H1008" s="525" t="s">
        <v>3666</v>
      </c>
      <c r="I1008" s="474"/>
      <c r="J1008" s="475" t="s">
        <v>5188</v>
      </c>
    </row>
    <row r="1009" spans="1:10" ht="14.25" customHeight="1">
      <c r="A1009" s="520" t="s">
        <v>1621</v>
      </c>
      <c r="B1009" s="521" t="s">
        <v>1622</v>
      </c>
      <c r="C1009" s="520" t="s">
        <v>213</v>
      </c>
      <c r="D1009" s="472">
        <v>20.696000000000002</v>
      </c>
      <c r="E1009" s="522">
        <v>19.298999999999999</v>
      </c>
      <c r="F1009" s="523" t="s">
        <v>4166</v>
      </c>
      <c r="G1009" s="524" t="s">
        <v>3663</v>
      </c>
      <c r="H1009" s="525" t="s">
        <v>3666</v>
      </c>
      <c r="I1009" s="474"/>
      <c r="J1009" s="475" t="s">
        <v>5189</v>
      </c>
    </row>
    <row r="1010" spans="1:10" ht="14.25" customHeight="1">
      <c r="A1010" s="520" t="s">
        <v>1623</v>
      </c>
      <c r="B1010" s="521" t="s">
        <v>1624</v>
      </c>
      <c r="C1010" s="520" t="s">
        <v>213</v>
      </c>
      <c r="D1010" s="472">
        <v>20.696000000000002</v>
      </c>
      <c r="E1010" s="522">
        <v>19.298999999999999</v>
      </c>
      <c r="F1010" s="523" t="s">
        <v>4166</v>
      </c>
      <c r="G1010" s="524" t="s">
        <v>3663</v>
      </c>
      <c r="H1010" s="525" t="s">
        <v>3666</v>
      </c>
      <c r="I1010" s="474"/>
      <c r="J1010" s="475" t="s">
        <v>5190</v>
      </c>
    </row>
    <row r="1011" spans="1:10" ht="14.25" customHeight="1">
      <c r="A1011" s="520" t="s">
        <v>1625</v>
      </c>
      <c r="B1011" s="521" t="s">
        <v>1626</v>
      </c>
      <c r="C1011" s="520" t="s">
        <v>213</v>
      </c>
      <c r="D1011" s="472">
        <v>20.696000000000002</v>
      </c>
      <c r="E1011" s="522">
        <v>19.298999999999999</v>
      </c>
      <c r="F1011" s="523" t="s">
        <v>4166</v>
      </c>
      <c r="G1011" s="524" t="s">
        <v>3663</v>
      </c>
      <c r="H1011" s="525" t="s">
        <v>3666</v>
      </c>
      <c r="I1011" s="474"/>
      <c r="J1011" s="475" t="s">
        <v>5191</v>
      </c>
    </row>
    <row r="1012" spans="1:10" ht="14.25" customHeight="1">
      <c r="A1012" s="520" t="s">
        <v>1627</v>
      </c>
      <c r="B1012" s="521" t="s">
        <v>1628</v>
      </c>
      <c r="C1012" s="520" t="s">
        <v>213</v>
      </c>
      <c r="D1012" s="472">
        <v>20.696000000000002</v>
      </c>
      <c r="E1012" s="522">
        <v>19.298999999999999</v>
      </c>
      <c r="F1012" s="523" t="s">
        <v>4166</v>
      </c>
      <c r="G1012" s="524" t="s">
        <v>3663</v>
      </c>
      <c r="H1012" s="525" t="s">
        <v>3666</v>
      </c>
      <c r="I1012" s="474"/>
      <c r="J1012" s="475" t="s">
        <v>5192</v>
      </c>
    </row>
    <row r="1013" spans="1:10" ht="14.25" customHeight="1">
      <c r="A1013" s="520" t="s">
        <v>1629</v>
      </c>
      <c r="B1013" s="521" t="s">
        <v>1630</v>
      </c>
      <c r="C1013" s="520" t="s">
        <v>213</v>
      </c>
      <c r="D1013" s="472">
        <v>20.696000000000002</v>
      </c>
      <c r="E1013" s="522">
        <v>19.298999999999999</v>
      </c>
      <c r="F1013" s="523" t="s">
        <v>4166</v>
      </c>
      <c r="G1013" s="524" t="s">
        <v>3663</v>
      </c>
      <c r="H1013" s="525" t="s">
        <v>3666</v>
      </c>
      <c r="I1013" s="474"/>
      <c r="J1013" s="475" t="s">
        <v>5193</v>
      </c>
    </row>
    <row r="1014" spans="1:10" ht="14.25" customHeight="1">
      <c r="A1014" s="520" t="s">
        <v>1631</v>
      </c>
      <c r="B1014" s="521" t="s">
        <v>1632</v>
      </c>
      <c r="C1014" s="520" t="s">
        <v>213</v>
      </c>
      <c r="D1014" s="472">
        <v>20.696000000000002</v>
      </c>
      <c r="E1014" s="522">
        <v>19.298999999999999</v>
      </c>
      <c r="F1014" s="523" t="s">
        <v>4166</v>
      </c>
      <c r="G1014" s="524" t="s">
        <v>3663</v>
      </c>
      <c r="H1014" s="525" t="s">
        <v>3666</v>
      </c>
      <c r="I1014" s="474"/>
      <c r="J1014" s="475" t="s">
        <v>5194</v>
      </c>
    </row>
    <row r="1015" spans="1:10" ht="14.25" customHeight="1">
      <c r="A1015" s="520" t="s">
        <v>1633</v>
      </c>
      <c r="B1015" s="521" t="s">
        <v>1634</v>
      </c>
      <c r="C1015" s="520" t="s">
        <v>213</v>
      </c>
      <c r="D1015" s="472">
        <v>20.696000000000002</v>
      </c>
      <c r="E1015" s="522">
        <v>19.298999999999999</v>
      </c>
      <c r="F1015" s="523" t="s">
        <v>4166</v>
      </c>
      <c r="G1015" s="524" t="s">
        <v>3663</v>
      </c>
      <c r="H1015" s="525" t="s">
        <v>3666</v>
      </c>
      <c r="I1015" s="474"/>
      <c r="J1015" s="475" t="s">
        <v>5195</v>
      </c>
    </row>
    <row r="1016" spans="1:10" ht="14.25" customHeight="1">
      <c r="A1016" s="520" t="s">
        <v>1635</v>
      </c>
      <c r="B1016" s="521" t="s">
        <v>1636</v>
      </c>
      <c r="C1016" s="520" t="s">
        <v>213</v>
      </c>
      <c r="D1016" s="472">
        <v>20.696000000000002</v>
      </c>
      <c r="E1016" s="522">
        <v>19.298999999999999</v>
      </c>
      <c r="F1016" s="523" t="s">
        <v>4166</v>
      </c>
      <c r="G1016" s="524" t="s">
        <v>3663</v>
      </c>
      <c r="H1016" s="525" t="s">
        <v>3666</v>
      </c>
      <c r="I1016" s="474"/>
      <c r="J1016" s="475" t="s">
        <v>5196</v>
      </c>
    </row>
    <row r="1017" spans="1:10" ht="14.25" customHeight="1">
      <c r="A1017" s="520" t="s">
        <v>1637</v>
      </c>
      <c r="B1017" s="521" t="s">
        <v>1638</v>
      </c>
      <c r="C1017" s="520" t="s">
        <v>213</v>
      </c>
      <c r="D1017" s="472">
        <v>20.696000000000002</v>
      </c>
      <c r="E1017" s="522">
        <v>19.298999999999999</v>
      </c>
      <c r="F1017" s="523" t="s">
        <v>4166</v>
      </c>
      <c r="G1017" s="524" t="s">
        <v>3663</v>
      </c>
      <c r="H1017" s="525" t="s">
        <v>3666</v>
      </c>
      <c r="I1017" s="474"/>
      <c r="J1017" s="475" t="s">
        <v>5197</v>
      </c>
    </row>
    <row r="1018" spans="1:10" ht="14.25" customHeight="1">
      <c r="A1018" s="520" t="s">
        <v>1639</v>
      </c>
      <c r="B1018" s="521" t="s">
        <v>1640</v>
      </c>
      <c r="C1018" s="520" t="s">
        <v>213</v>
      </c>
      <c r="D1018" s="472">
        <v>20.696000000000002</v>
      </c>
      <c r="E1018" s="522">
        <v>19.298999999999999</v>
      </c>
      <c r="F1018" s="523" t="s">
        <v>4166</v>
      </c>
      <c r="G1018" s="524" t="s">
        <v>3663</v>
      </c>
      <c r="H1018" s="525" t="s">
        <v>3666</v>
      </c>
      <c r="I1018" s="474"/>
      <c r="J1018" s="475" t="s">
        <v>5198</v>
      </c>
    </row>
    <row r="1019" spans="1:10" ht="14.25" customHeight="1">
      <c r="A1019" s="520" t="s">
        <v>1641</v>
      </c>
      <c r="B1019" s="521" t="s">
        <v>1642</v>
      </c>
      <c r="C1019" s="520" t="s">
        <v>213</v>
      </c>
      <c r="D1019" s="472">
        <v>20.696000000000002</v>
      </c>
      <c r="E1019" s="522">
        <v>19.298999999999999</v>
      </c>
      <c r="F1019" s="523" t="s">
        <v>4166</v>
      </c>
      <c r="G1019" s="524" t="s">
        <v>3663</v>
      </c>
      <c r="H1019" s="525" t="s">
        <v>3666</v>
      </c>
      <c r="I1019" s="474"/>
      <c r="J1019" s="475" t="s">
        <v>5199</v>
      </c>
    </row>
    <row r="1020" spans="1:10" ht="14.25" customHeight="1">
      <c r="A1020" s="520" t="s">
        <v>1643</v>
      </c>
      <c r="B1020" s="521" t="s">
        <v>1644</v>
      </c>
      <c r="C1020" s="520" t="s">
        <v>213</v>
      </c>
      <c r="D1020" s="472">
        <v>20.696000000000002</v>
      </c>
      <c r="E1020" s="522">
        <v>19.298999999999999</v>
      </c>
      <c r="F1020" s="523" t="s">
        <v>4166</v>
      </c>
      <c r="G1020" s="524" t="s">
        <v>3663</v>
      </c>
      <c r="H1020" s="525" t="s">
        <v>3666</v>
      </c>
      <c r="I1020" s="474"/>
      <c r="J1020" s="475" t="s">
        <v>5200</v>
      </c>
    </row>
    <row r="1021" spans="1:10" ht="14.25" customHeight="1">
      <c r="A1021" s="528" t="s">
        <v>1645</v>
      </c>
      <c r="B1021" s="529" t="s">
        <v>1646</v>
      </c>
      <c r="C1021" s="528" t="s">
        <v>213</v>
      </c>
      <c r="D1021" s="472">
        <v>32.746000000000002</v>
      </c>
      <c r="E1021" s="522">
        <v>25.039000000000001</v>
      </c>
      <c r="F1021" s="523" t="s">
        <v>4166</v>
      </c>
      <c r="G1021" s="524" t="s">
        <v>3663</v>
      </c>
      <c r="H1021" s="525" t="s">
        <v>3666</v>
      </c>
      <c r="I1021" s="474"/>
      <c r="J1021" s="475" t="s">
        <v>5201</v>
      </c>
    </row>
    <row r="1022" spans="1:10" ht="14.25" customHeight="1">
      <c r="A1022" s="528" t="s">
        <v>1647</v>
      </c>
      <c r="B1022" s="529" t="s">
        <v>1648</v>
      </c>
      <c r="C1022" s="528" t="s">
        <v>213</v>
      </c>
      <c r="D1022" s="472">
        <v>32.746000000000002</v>
      </c>
      <c r="E1022" s="522">
        <v>25.039000000000001</v>
      </c>
      <c r="F1022" s="523" t="s">
        <v>4166</v>
      </c>
      <c r="G1022" s="524" t="s">
        <v>3663</v>
      </c>
      <c r="H1022" s="525" t="s">
        <v>3666</v>
      </c>
      <c r="I1022" s="474"/>
      <c r="J1022" s="475" t="s">
        <v>5202</v>
      </c>
    </row>
    <row r="1023" spans="1:10" ht="14.25" customHeight="1">
      <c r="A1023" s="520" t="s">
        <v>1649</v>
      </c>
      <c r="B1023" s="521" t="s">
        <v>1650</v>
      </c>
      <c r="C1023" s="520" t="s">
        <v>213</v>
      </c>
      <c r="D1023" s="472">
        <v>32.746000000000002</v>
      </c>
      <c r="E1023" s="522">
        <v>25.039000000000001</v>
      </c>
      <c r="F1023" s="523" t="s">
        <v>4166</v>
      </c>
      <c r="G1023" s="524" t="s">
        <v>3663</v>
      </c>
      <c r="H1023" s="525" t="s">
        <v>3666</v>
      </c>
      <c r="I1023" s="474"/>
      <c r="J1023" s="475" t="s">
        <v>5203</v>
      </c>
    </row>
    <row r="1024" spans="1:10" ht="14.25" customHeight="1">
      <c r="A1024" s="520" t="s">
        <v>1651</v>
      </c>
      <c r="B1024" s="521" t="s">
        <v>1652</v>
      </c>
      <c r="C1024" s="520" t="s">
        <v>213</v>
      </c>
      <c r="D1024" s="472">
        <v>32.746000000000002</v>
      </c>
      <c r="E1024" s="522">
        <v>25.039000000000001</v>
      </c>
      <c r="F1024" s="523" t="s">
        <v>4166</v>
      </c>
      <c r="G1024" s="524" t="s">
        <v>3663</v>
      </c>
      <c r="H1024" s="525" t="s">
        <v>3666</v>
      </c>
      <c r="I1024" s="474"/>
      <c r="J1024" s="475" t="s">
        <v>5204</v>
      </c>
    </row>
    <row r="1025" spans="1:10" ht="14.25" customHeight="1">
      <c r="A1025" s="520" t="s">
        <v>1653</v>
      </c>
      <c r="B1025" s="521" t="s">
        <v>1654</v>
      </c>
      <c r="C1025" s="520" t="s">
        <v>213</v>
      </c>
      <c r="D1025" s="472">
        <v>32.746000000000002</v>
      </c>
      <c r="E1025" s="522">
        <v>25.039000000000001</v>
      </c>
      <c r="F1025" s="523" t="s">
        <v>4166</v>
      </c>
      <c r="G1025" s="524" t="s">
        <v>3663</v>
      </c>
      <c r="H1025" s="525" t="s">
        <v>3666</v>
      </c>
      <c r="I1025" s="474"/>
      <c r="J1025" s="475" t="s">
        <v>5205</v>
      </c>
    </row>
    <row r="1026" spans="1:10" ht="14.25" customHeight="1">
      <c r="A1026" s="520" t="s">
        <v>1655</v>
      </c>
      <c r="B1026" s="521" t="s">
        <v>1656</v>
      </c>
      <c r="C1026" s="520" t="s">
        <v>213</v>
      </c>
      <c r="D1026" s="472">
        <v>32.746000000000002</v>
      </c>
      <c r="E1026" s="522">
        <v>25.039000000000001</v>
      </c>
      <c r="F1026" s="523" t="s">
        <v>4166</v>
      </c>
      <c r="G1026" s="524" t="s">
        <v>3663</v>
      </c>
      <c r="H1026" s="525" t="s">
        <v>3666</v>
      </c>
      <c r="I1026" s="474"/>
      <c r="J1026" s="475" t="s">
        <v>5206</v>
      </c>
    </row>
    <row r="1027" spans="1:10" ht="14.25" customHeight="1">
      <c r="A1027" s="520" t="s">
        <v>1657</v>
      </c>
      <c r="B1027" s="521" t="s">
        <v>1658</v>
      </c>
      <c r="C1027" s="520" t="s">
        <v>213</v>
      </c>
      <c r="D1027" s="472">
        <v>32.746000000000002</v>
      </c>
      <c r="E1027" s="522">
        <v>25.039000000000001</v>
      </c>
      <c r="F1027" s="523" t="s">
        <v>4166</v>
      </c>
      <c r="G1027" s="524" t="s">
        <v>3663</v>
      </c>
      <c r="H1027" s="525" t="s">
        <v>3666</v>
      </c>
      <c r="I1027" s="474"/>
      <c r="J1027" s="475" t="s">
        <v>5207</v>
      </c>
    </row>
    <row r="1028" spans="1:10" ht="14.25" customHeight="1">
      <c r="A1028" s="528" t="s">
        <v>1659</v>
      </c>
      <c r="B1028" s="529" t="s">
        <v>1660</v>
      </c>
      <c r="C1028" s="528" t="s">
        <v>213</v>
      </c>
      <c r="D1028" s="472">
        <v>13.746</v>
      </c>
      <c r="E1028" s="522">
        <v>11.252000000000001</v>
      </c>
      <c r="F1028" s="523" t="s">
        <v>4166</v>
      </c>
      <c r="G1028" s="524" t="s">
        <v>3663</v>
      </c>
      <c r="H1028" s="525" t="s">
        <v>3666</v>
      </c>
      <c r="I1028" s="474"/>
      <c r="J1028" s="475" t="s">
        <v>5208</v>
      </c>
    </row>
    <row r="1029" spans="1:10" ht="14.25" customHeight="1">
      <c r="A1029" s="528" t="s">
        <v>1661</v>
      </c>
      <c r="B1029" s="529" t="s">
        <v>1662</v>
      </c>
      <c r="C1029" s="528" t="s">
        <v>213</v>
      </c>
      <c r="D1029" s="472">
        <v>13.746</v>
      </c>
      <c r="E1029" s="522">
        <v>11.252000000000001</v>
      </c>
      <c r="F1029" s="523" t="s">
        <v>4166</v>
      </c>
      <c r="G1029" s="524" t="s">
        <v>3663</v>
      </c>
      <c r="H1029" s="525" t="s">
        <v>3666</v>
      </c>
      <c r="I1029" s="474"/>
      <c r="J1029" s="475" t="s">
        <v>5209</v>
      </c>
    </row>
    <row r="1030" spans="1:10" ht="14.25" customHeight="1">
      <c r="A1030" s="520" t="s">
        <v>1663</v>
      </c>
      <c r="B1030" s="521" t="s">
        <v>1664</v>
      </c>
      <c r="C1030" s="520" t="s">
        <v>213</v>
      </c>
      <c r="D1030" s="472">
        <v>13.746</v>
      </c>
      <c r="E1030" s="522">
        <v>11.252000000000001</v>
      </c>
      <c r="F1030" s="523" t="s">
        <v>4166</v>
      </c>
      <c r="G1030" s="524" t="s">
        <v>3663</v>
      </c>
      <c r="H1030" s="525" t="s">
        <v>3666</v>
      </c>
      <c r="I1030" s="474"/>
      <c r="J1030" s="475" t="s">
        <v>5210</v>
      </c>
    </row>
    <row r="1031" spans="1:10" ht="14.25" customHeight="1">
      <c r="A1031" s="520" t="s">
        <v>1665</v>
      </c>
      <c r="B1031" s="521" t="s">
        <v>1666</v>
      </c>
      <c r="C1031" s="520" t="s">
        <v>213</v>
      </c>
      <c r="D1031" s="472">
        <v>13.746</v>
      </c>
      <c r="E1031" s="522">
        <v>11.252000000000001</v>
      </c>
      <c r="F1031" s="523" t="s">
        <v>4166</v>
      </c>
      <c r="G1031" s="524" t="s">
        <v>3663</v>
      </c>
      <c r="H1031" s="525" t="s">
        <v>3666</v>
      </c>
      <c r="I1031" s="474"/>
      <c r="J1031" s="475" t="s">
        <v>5211</v>
      </c>
    </row>
    <row r="1032" spans="1:10" ht="14.25" customHeight="1">
      <c r="A1032" s="520" t="s">
        <v>1667</v>
      </c>
      <c r="B1032" s="521" t="s">
        <v>1668</v>
      </c>
      <c r="C1032" s="520" t="s">
        <v>213</v>
      </c>
      <c r="D1032" s="472">
        <v>13.746</v>
      </c>
      <c r="E1032" s="522">
        <v>11.252000000000001</v>
      </c>
      <c r="F1032" s="523" t="s">
        <v>4166</v>
      </c>
      <c r="G1032" s="524" t="s">
        <v>3663</v>
      </c>
      <c r="H1032" s="525" t="s">
        <v>3666</v>
      </c>
      <c r="I1032" s="474"/>
      <c r="J1032" s="475" t="s">
        <v>5212</v>
      </c>
    </row>
    <row r="1033" spans="1:10" ht="14.25" customHeight="1">
      <c r="A1033" s="520" t="s">
        <v>1669</v>
      </c>
      <c r="B1033" s="521" t="s">
        <v>1670</v>
      </c>
      <c r="C1033" s="520" t="s">
        <v>213</v>
      </c>
      <c r="D1033" s="472">
        <v>13.746</v>
      </c>
      <c r="E1033" s="522">
        <v>11.252000000000001</v>
      </c>
      <c r="F1033" s="523" t="s">
        <v>4166</v>
      </c>
      <c r="G1033" s="524" t="s">
        <v>3663</v>
      </c>
      <c r="H1033" s="525" t="s">
        <v>3666</v>
      </c>
      <c r="I1033" s="474"/>
      <c r="J1033" s="475" t="s">
        <v>5213</v>
      </c>
    </row>
    <row r="1034" spans="1:10" ht="14.25" customHeight="1">
      <c r="A1034" s="520" t="s">
        <v>1671</v>
      </c>
      <c r="B1034" s="521" t="s">
        <v>1672</v>
      </c>
      <c r="C1034" s="520" t="s">
        <v>213</v>
      </c>
      <c r="D1034" s="472">
        <v>13.746</v>
      </c>
      <c r="E1034" s="522">
        <v>11.252000000000001</v>
      </c>
      <c r="F1034" s="523" t="s">
        <v>4166</v>
      </c>
      <c r="G1034" s="524" t="s">
        <v>3663</v>
      </c>
      <c r="H1034" s="525" t="s">
        <v>3666</v>
      </c>
      <c r="I1034" s="474"/>
      <c r="J1034" s="475" t="s">
        <v>5214</v>
      </c>
    </row>
    <row r="1035" spans="1:10" ht="14.25" customHeight="1">
      <c r="A1035" s="520" t="s">
        <v>3914</v>
      </c>
      <c r="B1035" s="521" t="s">
        <v>3915</v>
      </c>
      <c r="C1035" s="520" t="s">
        <v>213</v>
      </c>
      <c r="D1035" s="472">
        <v>36.710999999999999</v>
      </c>
      <c r="E1035" s="522">
        <v>25.039000000000001</v>
      </c>
      <c r="F1035" s="523" t="s">
        <v>4166</v>
      </c>
      <c r="G1035" s="524" t="s">
        <v>3663</v>
      </c>
      <c r="H1035" s="525" t="s">
        <v>3666</v>
      </c>
      <c r="I1035" s="474"/>
      <c r="J1035" s="475" t="s">
        <v>5215</v>
      </c>
    </row>
    <row r="1036" spans="1:10" ht="14.25" customHeight="1">
      <c r="A1036" s="520" t="s">
        <v>3916</v>
      </c>
      <c r="B1036" s="521" t="s">
        <v>3917</v>
      </c>
      <c r="C1036" s="520" t="s">
        <v>213</v>
      </c>
      <c r="D1036" s="472">
        <v>36.710999999999999</v>
      </c>
      <c r="E1036" s="522">
        <v>25.039000000000001</v>
      </c>
      <c r="F1036" s="523" t="s">
        <v>4166</v>
      </c>
      <c r="G1036" s="524" t="s">
        <v>3663</v>
      </c>
      <c r="H1036" s="525" t="s">
        <v>3666</v>
      </c>
      <c r="I1036" s="474"/>
      <c r="J1036" s="475" t="s">
        <v>5216</v>
      </c>
    </row>
    <row r="1037" spans="1:10" ht="14.25" customHeight="1">
      <c r="A1037" s="520" t="s">
        <v>3918</v>
      </c>
      <c r="B1037" s="521" t="s">
        <v>3919</v>
      </c>
      <c r="C1037" s="520" t="s">
        <v>213</v>
      </c>
      <c r="D1037" s="472">
        <v>36.710999999999999</v>
      </c>
      <c r="E1037" s="522">
        <v>25.039000000000001</v>
      </c>
      <c r="F1037" s="523" t="s">
        <v>4166</v>
      </c>
      <c r="G1037" s="524" t="s">
        <v>3663</v>
      </c>
      <c r="H1037" s="525" t="s">
        <v>3666</v>
      </c>
      <c r="I1037" s="474"/>
      <c r="J1037" s="475" t="s">
        <v>5217</v>
      </c>
    </row>
    <row r="1038" spans="1:10" ht="14.25" customHeight="1">
      <c r="A1038" s="520" t="s">
        <v>3920</v>
      </c>
      <c r="B1038" s="521" t="s">
        <v>3921</v>
      </c>
      <c r="C1038" s="520" t="s">
        <v>213</v>
      </c>
      <c r="D1038" s="472">
        <v>36.710999999999999</v>
      </c>
      <c r="E1038" s="522">
        <v>25.039000000000001</v>
      </c>
      <c r="F1038" s="523" t="s">
        <v>4166</v>
      </c>
      <c r="G1038" s="524" t="s">
        <v>3663</v>
      </c>
      <c r="H1038" s="525" t="s">
        <v>3666</v>
      </c>
      <c r="I1038" s="474"/>
      <c r="J1038" s="475" t="s">
        <v>5218</v>
      </c>
    </row>
    <row r="1039" spans="1:10" ht="14.25" customHeight="1">
      <c r="A1039" s="520" t="s">
        <v>1673</v>
      </c>
      <c r="B1039" s="521" t="s">
        <v>1674</v>
      </c>
      <c r="C1039" s="520" t="s">
        <v>213</v>
      </c>
      <c r="D1039" s="472">
        <v>31.141999999999999</v>
      </c>
      <c r="E1039" s="522">
        <v>29.024000000000001</v>
      </c>
      <c r="F1039" s="523" t="s">
        <v>4166</v>
      </c>
      <c r="G1039" s="524" t="s">
        <v>3663</v>
      </c>
      <c r="H1039" s="525" t="s">
        <v>3666</v>
      </c>
      <c r="I1039" s="474"/>
      <c r="J1039" s="475" t="s">
        <v>5219</v>
      </c>
    </row>
    <row r="1040" spans="1:10" ht="14.25" customHeight="1">
      <c r="A1040" s="520" t="s">
        <v>1675</v>
      </c>
      <c r="B1040" s="521" t="s">
        <v>1676</v>
      </c>
      <c r="C1040" s="520" t="s">
        <v>213</v>
      </c>
      <c r="D1040" s="472">
        <v>31.334</v>
      </c>
      <c r="E1040" s="522">
        <v>29.201000000000001</v>
      </c>
      <c r="F1040" s="523" t="s">
        <v>4166</v>
      </c>
      <c r="G1040" s="524" t="s">
        <v>3663</v>
      </c>
      <c r="H1040" s="525" t="s">
        <v>3666</v>
      </c>
      <c r="I1040" s="474"/>
      <c r="J1040" s="475" t="s">
        <v>5220</v>
      </c>
    </row>
    <row r="1041" spans="1:10" ht="14.25" customHeight="1">
      <c r="A1041" s="520" t="s">
        <v>3355</v>
      </c>
      <c r="B1041" s="521" t="s">
        <v>3356</v>
      </c>
      <c r="C1041" s="569" t="s">
        <v>213</v>
      </c>
      <c r="D1041" s="472">
        <v>1.7390000000000001</v>
      </c>
      <c r="E1041" s="522">
        <v>1.621</v>
      </c>
      <c r="F1041" s="523" t="s">
        <v>4166</v>
      </c>
      <c r="G1041" s="524" t="s">
        <v>3663</v>
      </c>
      <c r="H1041" s="525" t="s">
        <v>3666</v>
      </c>
      <c r="I1041" s="474"/>
      <c r="J1041" s="475" t="s">
        <v>5221</v>
      </c>
    </row>
    <row r="1042" spans="1:10" ht="14.25" customHeight="1">
      <c r="A1042" s="520" t="s">
        <v>3357</v>
      </c>
      <c r="B1042" s="521" t="s">
        <v>3358</v>
      </c>
      <c r="C1042" s="569" t="s">
        <v>213</v>
      </c>
      <c r="D1042" s="472">
        <v>20.972000000000001</v>
      </c>
      <c r="E1042" s="522">
        <v>19.553999999999998</v>
      </c>
      <c r="F1042" s="523" t="s">
        <v>4166</v>
      </c>
      <c r="G1042" s="524" t="s">
        <v>3663</v>
      </c>
      <c r="H1042" s="525" t="s">
        <v>3666</v>
      </c>
      <c r="I1042" s="474"/>
      <c r="J1042" s="475" t="s">
        <v>5222</v>
      </c>
    </row>
    <row r="1043" spans="1:10" ht="14.25" customHeight="1">
      <c r="A1043" s="520" t="s">
        <v>1677</v>
      </c>
      <c r="B1043" s="521" t="s">
        <v>1678</v>
      </c>
      <c r="C1043" s="520" t="s">
        <v>213</v>
      </c>
      <c r="D1043" s="472">
        <v>2.544</v>
      </c>
      <c r="E1043" s="522">
        <v>2.3759999999999999</v>
      </c>
      <c r="F1043" s="523" t="s">
        <v>4166</v>
      </c>
      <c r="G1043" s="524" t="s">
        <v>3663</v>
      </c>
      <c r="H1043" s="525" t="s">
        <v>3666</v>
      </c>
      <c r="I1043" s="474"/>
      <c r="J1043" s="475" t="s">
        <v>5223</v>
      </c>
    </row>
    <row r="1044" spans="1:10" ht="14.25" customHeight="1">
      <c r="A1044" s="520" t="s">
        <v>1679</v>
      </c>
      <c r="B1044" s="521" t="s">
        <v>1680</v>
      </c>
      <c r="C1044" s="520" t="s">
        <v>213</v>
      </c>
      <c r="D1044" s="472">
        <v>2.544</v>
      </c>
      <c r="E1044" s="522">
        <v>2.3759999999999999</v>
      </c>
      <c r="F1044" s="523" t="s">
        <v>4166</v>
      </c>
      <c r="G1044" s="524" t="s">
        <v>3663</v>
      </c>
      <c r="H1044" s="525" t="s">
        <v>3666</v>
      </c>
      <c r="I1044" s="474"/>
      <c r="J1044" s="475" t="s">
        <v>5224</v>
      </c>
    </row>
    <row r="1045" spans="1:10" ht="14.25" customHeight="1">
      <c r="A1045" s="520" t="s">
        <v>1681</v>
      </c>
      <c r="B1045" s="521" t="s">
        <v>1682</v>
      </c>
      <c r="C1045" s="520" t="s">
        <v>213</v>
      </c>
      <c r="D1045" s="472">
        <v>2.544</v>
      </c>
      <c r="E1045" s="522">
        <v>2.3759999999999999</v>
      </c>
      <c r="F1045" s="523" t="s">
        <v>4166</v>
      </c>
      <c r="G1045" s="524" t="s">
        <v>3663</v>
      </c>
      <c r="H1045" s="525" t="s">
        <v>3666</v>
      </c>
      <c r="I1045" s="474"/>
      <c r="J1045" s="475" t="s">
        <v>5225</v>
      </c>
    </row>
    <row r="1046" spans="1:10" ht="14.25" customHeight="1">
      <c r="A1046" s="520" t="s">
        <v>1683</v>
      </c>
      <c r="B1046" s="521" t="s">
        <v>1684</v>
      </c>
      <c r="C1046" s="520" t="s">
        <v>213</v>
      </c>
      <c r="D1046" s="472">
        <v>2.544</v>
      </c>
      <c r="E1046" s="522">
        <v>2.3759999999999999</v>
      </c>
      <c r="F1046" s="523" t="s">
        <v>4166</v>
      </c>
      <c r="G1046" s="524" t="s">
        <v>3663</v>
      </c>
      <c r="H1046" s="525" t="s">
        <v>3666</v>
      </c>
      <c r="I1046" s="474"/>
      <c r="J1046" s="475" t="s">
        <v>5226</v>
      </c>
    </row>
    <row r="1047" spans="1:10" ht="14.25" customHeight="1">
      <c r="A1047" s="520" t="s">
        <v>1685</v>
      </c>
      <c r="B1047" s="521" t="s">
        <v>1686</v>
      </c>
      <c r="C1047" s="520" t="s">
        <v>213</v>
      </c>
      <c r="D1047" s="472">
        <v>2.544</v>
      </c>
      <c r="E1047" s="522">
        <v>2.3759999999999999</v>
      </c>
      <c r="F1047" s="523" t="s">
        <v>4166</v>
      </c>
      <c r="G1047" s="524" t="s">
        <v>3663</v>
      </c>
      <c r="H1047" s="525" t="s">
        <v>3666</v>
      </c>
      <c r="I1047" s="474"/>
      <c r="J1047" s="475" t="s">
        <v>5227</v>
      </c>
    </row>
    <row r="1048" spans="1:10" ht="14.25" customHeight="1">
      <c r="A1048" s="520" t="s">
        <v>1687</v>
      </c>
      <c r="B1048" s="521" t="s">
        <v>1688</v>
      </c>
      <c r="C1048" s="520" t="s">
        <v>213</v>
      </c>
      <c r="D1048" s="472">
        <v>2.544</v>
      </c>
      <c r="E1048" s="522">
        <v>2.3759999999999999</v>
      </c>
      <c r="F1048" s="523" t="s">
        <v>4166</v>
      </c>
      <c r="G1048" s="524" t="s">
        <v>3663</v>
      </c>
      <c r="H1048" s="525" t="s">
        <v>3666</v>
      </c>
      <c r="I1048" s="474"/>
      <c r="J1048" s="475" t="s">
        <v>5228</v>
      </c>
    </row>
    <row r="1049" spans="1:10" ht="14.25" customHeight="1">
      <c r="A1049" s="520" t="s">
        <v>1689</v>
      </c>
      <c r="B1049" s="521" t="s">
        <v>1690</v>
      </c>
      <c r="C1049" s="520" t="s">
        <v>213</v>
      </c>
      <c r="D1049" s="472">
        <v>3.4340000000000002</v>
      </c>
      <c r="E1049" s="522">
        <v>3.1989999999999998</v>
      </c>
      <c r="F1049" s="523" t="s">
        <v>4166</v>
      </c>
      <c r="G1049" s="524" t="s">
        <v>3663</v>
      </c>
      <c r="H1049" s="525" t="s">
        <v>3666</v>
      </c>
      <c r="I1049" s="474"/>
      <c r="J1049" s="475" t="s">
        <v>5229</v>
      </c>
    </row>
    <row r="1050" spans="1:10" ht="14.25" customHeight="1">
      <c r="A1050" s="520" t="s">
        <v>1691</v>
      </c>
      <c r="B1050" s="521" t="s">
        <v>1692</v>
      </c>
      <c r="C1050" s="520" t="s">
        <v>213</v>
      </c>
      <c r="D1050" s="472">
        <v>7.423</v>
      </c>
      <c r="E1050" s="522">
        <v>5.7210000000000001</v>
      </c>
      <c r="F1050" s="523" t="s">
        <v>4166</v>
      </c>
      <c r="G1050" s="527" t="s">
        <v>3662</v>
      </c>
      <c r="H1050" s="525" t="s">
        <v>3666</v>
      </c>
      <c r="I1050" s="474"/>
      <c r="J1050" s="475" t="s">
        <v>5230</v>
      </c>
    </row>
    <row r="1051" spans="1:10" ht="14.25" customHeight="1">
      <c r="A1051" s="520" t="s">
        <v>1693</v>
      </c>
      <c r="B1051" s="521" t="s">
        <v>1694</v>
      </c>
      <c r="C1051" s="520" t="s">
        <v>213</v>
      </c>
      <c r="D1051" s="472">
        <v>3.7130000000000001</v>
      </c>
      <c r="E1051" s="522">
        <v>2.8610000000000002</v>
      </c>
      <c r="F1051" s="523" t="s">
        <v>4166</v>
      </c>
      <c r="G1051" s="527" t="s">
        <v>3662</v>
      </c>
      <c r="H1051" s="525" t="s">
        <v>3666</v>
      </c>
      <c r="I1051" s="474"/>
      <c r="J1051" s="475" t="s">
        <v>5231</v>
      </c>
    </row>
    <row r="1052" spans="1:10" ht="14.25" customHeight="1">
      <c r="A1052" s="520" t="s">
        <v>1695</v>
      </c>
      <c r="B1052" s="521" t="s">
        <v>1696</v>
      </c>
      <c r="C1052" s="520" t="s">
        <v>213</v>
      </c>
      <c r="D1052" s="472">
        <v>3.004</v>
      </c>
      <c r="E1052" s="522">
        <v>2.3140000000000001</v>
      </c>
      <c r="F1052" s="523" t="s">
        <v>4166</v>
      </c>
      <c r="G1052" s="527" t="s">
        <v>3662</v>
      </c>
      <c r="H1052" s="525" t="s">
        <v>3666</v>
      </c>
      <c r="I1052" s="474"/>
      <c r="J1052" s="475" t="s">
        <v>5232</v>
      </c>
    </row>
    <row r="1053" spans="1:10" ht="14.25" customHeight="1">
      <c r="A1053" s="520" t="s">
        <v>1697</v>
      </c>
      <c r="B1053" s="521" t="s">
        <v>1698</v>
      </c>
      <c r="C1053" s="520" t="s">
        <v>213</v>
      </c>
      <c r="D1053" s="472">
        <v>0.50600000000000001</v>
      </c>
      <c r="E1053" s="522">
        <v>0.432</v>
      </c>
      <c r="F1053" s="523" t="s">
        <v>4166</v>
      </c>
      <c r="G1053" s="524"/>
      <c r="H1053" s="525" t="s">
        <v>3666</v>
      </c>
      <c r="I1053" s="474"/>
      <c r="J1053" s="475" t="s">
        <v>5233</v>
      </c>
    </row>
    <row r="1054" spans="1:10" ht="14.25" customHeight="1">
      <c r="A1054" s="520" t="s">
        <v>1699</v>
      </c>
      <c r="B1054" s="521" t="s">
        <v>1700</v>
      </c>
      <c r="C1054" s="520" t="s">
        <v>213</v>
      </c>
      <c r="D1054" s="472">
        <v>14.391</v>
      </c>
      <c r="E1054" s="522">
        <v>11.09</v>
      </c>
      <c r="F1054" s="523" t="s">
        <v>4166</v>
      </c>
      <c r="G1054" s="527" t="s">
        <v>3662</v>
      </c>
      <c r="H1054" s="525" t="s">
        <v>3666</v>
      </c>
      <c r="I1054" s="474"/>
      <c r="J1054" s="475" t="s">
        <v>5234</v>
      </c>
    </row>
    <row r="1055" spans="1:10" ht="14.25" customHeight="1">
      <c r="A1055" s="520" t="s">
        <v>1701</v>
      </c>
      <c r="B1055" s="521" t="s">
        <v>1702</v>
      </c>
      <c r="C1055" s="520" t="s">
        <v>213</v>
      </c>
      <c r="D1055" s="472">
        <v>12.435</v>
      </c>
      <c r="E1055" s="522">
        <v>9.5839999999999996</v>
      </c>
      <c r="F1055" s="523" t="s">
        <v>4166</v>
      </c>
      <c r="G1055" s="527" t="s">
        <v>3662</v>
      </c>
      <c r="H1055" s="525" t="s">
        <v>3666</v>
      </c>
      <c r="I1055" s="474"/>
      <c r="J1055" s="475" t="s">
        <v>5235</v>
      </c>
    </row>
    <row r="1056" spans="1:10" ht="14.25" customHeight="1">
      <c r="A1056" s="520" t="s">
        <v>1703</v>
      </c>
      <c r="B1056" s="521" t="s">
        <v>1704</v>
      </c>
      <c r="C1056" s="520" t="s">
        <v>213</v>
      </c>
      <c r="D1056" s="472">
        <v>22.734999999999999</v>
      </c>
      <c r="E1056" s="522">
        <v>17.521000000000001</v>
      </c>
      <c r="F1056" s="523" t="s">
        <v>4166</v>
      </c>
      <c r="G1056" s="527" t="s">
        <v>3662</v>
      </c>
      <c r="H1056" s="525" t="s">
        <v>3666</v>
      </c>
      <c r="I1056" s="474"/>
      <c r="J1056" s="475" t="s">
        <v>5236</v>
      </c>
    </row>
    <row r="1057" spans="1:10" ht="14.25" customHeight="1">
      <c r="A1057" s="520" t="s">
        <v>1705</v>
      </c>
      <c r="B1057" s="521" t="s">
        <v>1706</v>
      </c>
      <c r="C1057" s="520" t="s">
        <v>213</v>
      </c>
      <c r="D1057" s="472">
        <v>7.423</v>
      </c>
      <c r="E1057" s="522">
        <v>5.7210000000000001</v>
      </c>
      <c r="F1057" s="523" t="s">
        <v>4166</v>
      </c>
      <c r="G1057" s="527" t="s">
        <v>3662</v>
      </c>
      <c r="H1057" s="525" t="s">
        <v>3666</v>
      </c>
      <c r="I1057" s="474"/>
      <c r="J1057" s="475" t="s">
        <v>5237</v>
      </c>
    </row>
    <row r="1058" spans="1:10" ht="14.25" customHeight="1">
      <c r="A1058" s="520" t="s">
        <v>1707</v>
      </c>
      <c r="B1058" s="521" t="s">
        <v>1708</v>
      </c>
      <c r="C1058" s="520" t="s">
        <v>213</v>
      </c>
      <c r="D1058" s="472">
        <v>3.7130000000000001</v>
      </c>
      <c r="E1058" s="522">
        <v>2.8610000000000002</v>
      </c>
      <c r="F1058" s="523" t="s">
        <v>4166</v>
      </c>
      <c r="G1058" s="527" t="s">
        <v>3662</v>
      </c>
      <c r="H1058" s="525" t="s">
        <v>3666</v>
      </c>
      <c r="I1058" s="474"/>
      <c r="J1058" s="475" t="s">
        <v>5238</v>
      </c>
    </row>
    <row r="1059" spans="1:10" ht="14.25" customHeight="1">
      <c r="A1059" s="520" t="s">
        <v>1709</v>
      </c>
      <c r="B1059" s="521" t="s">
        <v>1710</v>
      </c>
      <c r="C1059" s="520" t="s">
        <v>213</v>
      </c>
      <c r="D1059" s="472">
        <v>3.004</v>
      </c>
      <c r="E1059" s="522">
        <v>2.3140000000000001</v>
      </c>
      <c r="F1059" s="523" t="s">
        <v>4166</v>
      </c>
      <c r="G1059" s="527" t="s">
        <v>3662</v>
      </c>
      <c r="H1059" s="525" t="s">
        <v>3666</v>
      </c>
      <c r="I1059" s="474"/>
      <c r="J1059" s="475" t="s">
        <v>5239</v>
      </c>
    </row>
    <row r="1060" spans="1:10" ht="14.25" customHeight="1">
      <c r="A1060" s="520" t="s">
        <v>1711</v>
      </c>
      <c r="B1060" s="521" t="s">
        <v>1712</v>
      </c>
      <c r="C1060" s="520" t="s">
        <v>213</v>
      </c>
      <c r="D1060" s="472">
        <v>14.391</v>
      </c>
      <c r="E1060" s="522">
        <v>11.09</v>
      </c>
      <c r="F1060" s="523" t="s">
        <v>4166</v>
      </c>
      <c r="G1060" s="527" t="s">
        <v>3662</v>
      </c>
      <c r="H1060" s="525" t="s">
        <v>3666</v>
      </c>
      <c r="I1060" s="474"/>
      <c r="J1060" s="475" t="s">
        <v>5240</v>
      </c>
    </row>
    <row r="1061" spans="1:10" ht="14.25" customHeight="1">
      <c r="A1061" s="520" t="s">
        <v>1713</v>
      </c>
      <c r="B1061" s="521" t="s">
        <v>1714</v>
      </c>
      <c r="C1061" s="520" t="s">
        <v>213</v>
      </c>
      <c r="D1061" s="472">
        <v>12.435</v>
      </c>
      <c r="E1061" s="522">
        <v>9.5839999999999996</v>
      </c>
      <c r="F1061" s="523" t="s">
        <v>4166</v>
      </c>
      <c r="G1061" s="527" t="s">
        <v>3662</v>
      </c>
      <c r="H1061" s="525" t="s">
        <v>3666</v>
      </c>
      <c r="I1061" s="474"/>
      <c r="J1061" s="475" t="s">
        <v>5241</v>
      </c>
    </row>
    <row r="1062" spans="1:10" ht="14.25" customHeight="1">
      <c r="A1062" s="520" t="s">
        <v>1715</v>
      </c>
      <c r="B1062" s="521" t="s">
        <v>1716</v>
      </c>
      <c r="C1062" s="520" t="s">
        <v>213</v>
      </c>
      <c r="D1062" s="472">
        <v>22.734999999999999</v>
      </c>
      <c r="E1062" s="522">
        <v>17.521000000000001</v>
      </c>
      <c r="F1062" s="523" t="s">
        <v>4166</v>
      </c>
      <c r="G1062" s="527" t="s">
        <v>3662</v>
      </c>
      <c r="H1062" s="525" t="s">
        <v>3666</v>
      </c>
      <c r="I1062" s="474"/>
      <c r="J1062" s="475" t="s">
        <v>5242</v>
      </c>
    </row>
    <row r="1063" spans="1:10" ht="14.25" customHeight="1">
      <c r="A1063" s="520" t="s">
        <v>1717</v>
      </c>
      <c r="B1063" s="521" t="s">
        <v>1718</v>
      </c>
      <c r="C1063" s="520" t="s">
        <v>213</v>
      </c>
      <c r="D1063" s="472">
        <v>7.423</v>
      </c>
      <c r="E1063" s="522">
        <v>5.7210000000000001</v>
      </c>
      <c r="F1063" s="523" t="s">
        <v>4166</v>
      </c>
      <c r="G1063" s="527" t="s">
        <v>3662</v>
      </c>
      <c r="H1063" s="525" t="s">
        <v>3666</v>
      </c>
      <c r="I1063" s="474"/>
      <c r="J1063" s="475" t="s">
        <v>5243</v>
      </c>
    </row>
    <row r="1064" spans="1:10" ht="14.25" customHeight="1">
      <c r="A1064" s="520" t="s">
        <v>1719</v>
      </c>
      <c r="B1064" s="521" t="s">
        <v>1720</v>
      </c>
      <c r="C1064" s="520" t="s">
        <v>213</v>
      </c>
      <c r="D1064" s="472">
        <v>3.7130000000000001</v>
      </c>
      <c r="E1064" s="522">
        <v>2.8610000000000002</v>
      </c>
      <c r="F1064" s="523" t="s">
        <v>4166</v>
      </c>
      <c r="G1064" s="527" t="s">
        <v>3662</v>
      </c>
      <c r="H1064" s="525" t="s">
        <v>3666</v>
      </c>
      <c r="I1064" s="474"/>
      <c r="J1064" s="475" t="s">
        <v>5244</v>
      </c>
    </row>
    <row r="1065" spans="1:10" ht="14.25" customHeight="1">
      <c r="A1065" s="520" t="s">
        <v>1721</v>
      </c>
      <c r="B1065" s="521" t="s">
        <v>1722</v>
      </c>
      <c r="C1065" s="520" t="s">
        <v>213</v>
      </c>
      <c r="D1065" s="472">
        <v>3.004</v>
      </c>
      <c r="E1065" s="522">
        <v>2.3140000000000001</v>
      </c>
      <c r="F1065" s="523" t="s">
        <v>4166</v>
      </c>
      <c r="G1065" s="527" t="s">
        <v>3662</v>
      </c>
      <c r="H1065" s="525" t="s">
        <v>3666</v>
      </c>
      <c r="I1065" s="474"/>
      <c r="J1065" s="475" t="s">
        <v>5245</v>
      </c>
    </row>
    <row r="1066" spans="1:10" ht="14.25" customHeight="1">
      <c r="A1066" s="520" t="s">
        <v>1723</v>
      </c>
      <c r="B1066" s="521" t="s">
        <v>1724</v>
      </c>
      <c r="C1066" s="520" t="s">
        <v>213</v>
      </c>
      <c r="D1066" s="472">
        <v>14.391</v>
      </c>
      <c r="E1066" s="522">
        <v>11.09</v>
      </c>
      <c r="F1066" s="523" t="s">
        <v>4166</v>
      </c>
      <c r="G1066" s="527" t="s">
        <v>3662</v>
      </c>
      <c r="H1066" s="525" t="s">
        <v>3666</v>
      </c>
      <c r="I1066" s="474"/>
      <c r="J1066" s="475" t="s">
        <v>5246</v>
      </c>
    </row>
    <row r="1067" spans="1:10" ht="14.25" customHeight="1">
      <c r="A1067" s="520" t="s">
        <v>1725</v>
      </c>
      <c r="B1067" s="521" t="s">
        <v>1726</v>
      </c>
      <c r="C1067" s="520" t="s">
        <v>213</v>
      </c>
      <c r="D1067" s="472">
        <v>12.435</v>
      </c>
      <c r="E1067" s="522">
        <v>9.5839999999999996</v>
      </c>
      <c r="F1067" s="523" t="s">
        <v>4166</v>
      </c>
      <c r="G1067" s="527" t="s">
        <v>3662</v>
      </c>
      <c r="H1067" s="525" t="s">
        <v>3666</v>
      </c>
      <c r="I1067" s="474"/>
      <c r="J1067" s="475" t="s">
        <v>5247</v>
      </c>
    </row>
    <row r="1068" spans="1:10" ht="14.25" customHeight="1">
      <c r="A1068" s="520" t="s">
        <v>1727</v>
      </c>
      <c r="B1068" s="521" t="s">
        <v>1728</v>
      </c>
      <c r="C1068" s="520" t="s">
        <v>213</v>
      </c>
      <c r="D1068" s="472">
        <v>22.734999999999999</v>
      </c>
      <c r="E1068" s="522">
        <v>17.521000000000001</v>
      </c>
      <c r="F1068" s="523" t="s">
        <v>4166</v>
      </c>
      <c r="G1068" s="527" t="s">
        <v>3662</v>
      </c>
      <c r="H1068" s="525" t="s">
        <v>3666</v>
      </c>
      <c r="I1068" s="474"/>
      <c r="J1068" s="475" t="s">
        <v>5248</v>
      </c>
    </row>
    <row r="1069" spans="1:10" ht="14.25" customHeight="1">
      <c r="A1069" s="520" t="s">
        <v>1729</v>
      </c>
      <c r="B1069" s="521" t="s">
        <v>1730</v>
      </c>
      <c r="C1069" s="520" t="s">
        <v>213</v>
      </c>
      <c r="D1069" s="472">
        <v>7.423</v>
      </c>
      <c r="E1069" s="522">
        <v>5.7210000000000001</v>
      </c>
      <c r="F1069" s="523" t="s">
        <v>4166</v>
      </c>
      <c r="G1069" s="527" t="s">
        <v>3662</v>
      </c>
      <c r="H1069" s="525" t="s">
        <v>3666</v>
      </c>
      <c r="I1069" s="474"/>
      <c r="J1069" s="475" t="s">
        <v>5249</v>
      </c>
    </row>
    <row r="1070" spans="1:10" ht="14.25" customHeight="1">
      <c r="A1070" s="520" t="s">
        <v>1731</v>
      </c>
      <c r="B1070" s="521" t="s">
        <v>1732</v>
      </c>
      <c r="C1070" s="520" t="s">
        <v>213</v>
      </c>
      <c r="D1070" s="472">
        <v>3.7130000000000001</v>
      </c>
      <c r="E1070" s="522">
        <v>2.8610000000000002</v>
      </c>
      <c r="F1070" s="523" t="s">
        <v>4166</v>
      </c>
      <c r="G1070" s="527" t="s">
        <v>3662</v>
      </c>
      <c r="H1070" s="525" t="s">
        <v>3666</v>
      </c>
      <c r="I1070" s="474"/>
      <c r="J1070" s="475" t="s">
        <v>5250</v>
      </c>
    </row>
    <row r="1071" spans="1:10" ht="14.25" customHeight="1">
      <c r="A1071" s="520" t="s">
        <v>1733</v>
      </c>
      <c r="B1071" s="521" t="s">
        <v>1734</v>
      </c>
      <c r="C1071" s="520" t="s">
        <v>213</v>
      </c>
      <c r="D1071" s="472">
        <v>3.004</v>
      </c>
      <c r="E1071" s="522">
        <v>2.3140000000000001</v>
      </c>
      <c r="F1071" s="523" t="s">
        <v>4166</v>
      </c>
      <c r="G1071" s="527" t="s">
        <v>3662</v>
      </c>
      <c r="H1071" s="525" t="s">
        <v>3666</v>
      </c>
      <c r="I1071" s="474"/>
      <c r="J1071" s="475" t="s">
        <v>5251</v>
      </c>
    </row>
    <row r="1072" spans="1:10" ht="14.25" customHeight="1">
      <c r="A1072" s="520" t="s">
        <v>1735</v>
      </c>
      <c r="B1072" s="521" t="s">
        <v>1736</v>
      </c>
      <c r="C1072" s="520" t="s">
        <v>213</v>
      </c>
      <c r="D1072" s="472">
        <v>14.391</v>
      </c>
      <c r="E1072" s="522">
        <v>11.09</v>
      </c>
      <c r="F1072" s="523" t="s">
        <v>4166</v>
      </c>
      <c r="G1072" s="527" t="s">
        <v>3662</v>
      </c>
      <c r="H1072" s="525" t="s">
        <v>3666</v>
      </c>
      <c r="I1072" s="474"/>
      <c r="J1072" s="475" t="s">
        <v>5252</v>
      </c>
    </row>
    <row r="1073" spans="1:10" ht="14.25" customHeight="1">
      <c r="A1073" s="520" t="s">
        <v>1737</v>
      </c>
      <c r="B1073" s="521" t="s">
        <v>1738</v>
      </c>
      <c r="C1073" s="520" t="s">
        <v>213</v>
      </c>
      <c r="D1073" s="472">
        <v>12.435</v>
      </c>
      <c r="E1073" s="522">
        <v>9.5839999999999996</v>
      </c>
      <c r="F1073" s="523" t="s">
        <v>4166</v>
      </c>
      <c r="G1073" s="527" t="s">
        <v>3662</v>
      </c>
      <c r="H1073" s="525" t="s">
        <v>3666</v>
      </c>
      <c r="I1073" s="474"/>
      <c r="J1073" s="475" t="s">
        <v>5253</v>
      </c>
    </row>
    <row r="1074" spans="1:10" ht="14.25" customHeight="1">
      <c r="A1074" s="520" t="s">
        <v>1739</v>
      </c>
      <c r="B1074" s="521" t="s">
        <v>1740</v>
      </c>
      <c r="C1074" s="520" t="s">
        <v>213</v>
      </c>
      <c r="D1074" s="472">
        <v>22.734999999999999</v>
      </c>
      <c r="E1074" s="522">
        <v>17.521000000000001</v>
      </c>
      <c r="F1074" s="523" t="s">
        <v>4166</v>
      </c>
      <c r="G1074" s="527" t="s">
        <v>3662</v>
      </c>
      <c r="H1074" s="525" t="s">
        <v>3666</v>
      </c>
      <c r="I1074" s="474"/>
      <c r="J1074" s="475" t="s">
        <v>5254</v>
      </c>
    </row>
    <row r="1075" spans="1:10" ht="14.25" customHeight="1">
      <c r="A1075" s="520" t="s">
        <v>1741</v>
      </c>
      <c r="B1075" s="521" t="s">
        <v>1742</v>
      </c>
      <c r="C1075" s="520" t="s">
        <v>213</v>
      </c>
      <c r="D1075" s="472">
        <v>7.423</v>
      </c>
      <c r="E1075" s="522">
        <v>5.7210000000000001</v>
      </c>
      <c r="F1075" s="523" t="s">
        <v>4166</v>
      </c>
      <c r="G1075" s="527" t="s">
        <v>3662</v>
      </c>
      <c r="H1075" s="525" t="s">
        <v>3666</v>
      </c>
      <c r="I1075" s="474"/>
      <c r="J1075" s="475" t="s">
        <v>5255</v>
      </c>
    </row>
    <row r="1076" spans="1:10" ht="14.25" customHeight="1">
      <c r="A1076" s="520" t="s">
        <v>1743</v>
      </c>
      <c r="B1076" s="521" t="s">
        <v>1744</v>
      </c>
      <c r="C1076" s="520" t="s">
        <v>213</v>
      </c>
      <c r="D1076" s="472">
        <v>3.7130000000000001</v>
      </c>
      <c r="E1076" s="522">
        <v>2.8610000000000002</v>
      </c>
      <c r="F1076" s="523" t="s">
        <v>4166</v>
      </c>
      <c r="G1076" s="527" t="s">
        <v>3662</v>
      </c>
      <c r="H1076" s="525" t="s">
        <v>3666</v>
      </c>
      <c r="I1076" s="474"/>
      <c r="J1076" s="475" t="s">
        <v>5256</v>
      </c>
    </row>
    <row r="1077" spans="1:10" ht="14.25" customHeight="1">
      <c r="A1077" s="520" t="s">
        <v>1745</v>
      </c>
      <c r="B1077" s="521" t="s">
        <v>1746</v>
      </c>
      <c r="C1077" s="520" t="s">
        <v>213</v>
      </c>
      <c r="D1077" s="472">
        <v>3.004</v>
      </c>
      <c r="E1077" s="522">
        <v>2.3140000000000001</v>
      </c>
      <c r="F1077" s="523" t="s">
        <v>4166</v>
      </c>
      <c r="G1077" s="527" t="s">
        <v>3662</v>
      </c>
      <c r="H1077" s="525" t="s">
        <v>3666</v>
      </c>
      <c r="I1077" s="474"/>
      <c r="J1077" s="475" t="s">
        <v>5257</v>
      </c>
    </row>
    <row r="1078" spans="1:10" ht="14.25" customHeight="1">
      <c r="A1078" s="520" t="s">
        <v>1747</v>
      </c>
      <c r="B1078" s="521" t="s">
        <v>1748</v>
      </c>
      <c r="C1078" s="520" t="s">
        <v>213</v>
      </c>
      <c r="D1078" s="472">
        <v>14.391</v>
      </c>
      <c r="E1078" s="522">
        <v>11.09</v>
      </c>
      <c r="F1078" s="523" t="s">
        <v>4166</v>
      </c>
      <c r="G1078" s="527" t="s">
        <v>3662</v>
      </c>
      <c r="H1078" s="525" t="s">
        <v>3666</v>
      </c>
      <c r="I1078" s="474"/>
      <c r="J1078" s="475" t="s">
        <v>5258</v>
      </c>
    </row>
    <row r="1079" spans="1:10" ht="14.25" customHeight="1">
      <c r="A1079" s="520" t="s">
        <v>1749</v>
      </c>
      <c r="B1079" s="521" t="s">
        <v>1750</v>
      </c>
      <c r="C1079" s="520" t="s">
        <v>213</v>
      </c>
      <c r="D1079" s="472">
        <v>12.435</v>
      </c>
      <c r="E1079" s="522">
        <v>9.5839999999999996</v>
      </c>
      <c r="F1079" s="523" t="s">
        <v>4166</v>
      </c>
      <c r="G1079" s="527" t="s">
        <v>3662</v>
      </c>
      <c r="H1079" s="525" t="s">
        <v>3666</v>
      </c>
      <c r="I1079" s="474"/>
      <c r="J1079" s="475" t="s">
        <v>5259</v>
      </c>
    </row>
    <row r="1080" spans="1:10" ht="14.25" customHeight="1">
      <c r="A1080" s="520" t="s">
        <v>1751</v>
      </c>
      <c r="B1080" s="521" t="s">
        <v>1752</v>
      </c>
      <c r="C1080" s="520" t="s">
        <v>213</v>
      </c>
      <c r="D1080" s="472">
        <v>22.734999999999999</v>
      </c>
      <c r="E1080" s="522">
        <v>17.521000000000001</v>
      </c>
      <c r="F1080" s="523" t="s">
        <v>4166</v>
      </c>
      <c r="G1080" s="527" t="s">
        <v>3662</v>
      </c>
      <c r="H1080" s="525" t="s">
        <v>3666</v>
      </c>
      <c r="I1080" s="474"/>
      <c r="J1080" s="475" t="s">
        <v>5260</v>
      </c>
    </row>
    <row r="1081" spans="1:10" ht="14.25" customHeight="1">
      <c r="A1081" s="520" t="s">
        <v>1753</v>
      </c>
      <c r="B1081" s="521" t="s">
        <v>1754</v>
      </c>
      <c r="C1081" s="520" t="s">
        <v>213</v>
      </c>
      <c r="D1081" s="472">
        <v>7.423</v>
      </c>
      <c r="E1081" s="522">
        <v>5.7210000000000001</v>
      </c>
      <c r="F1081" s="523" t="s">
        <v>4166</v>
      </c>
      <c r="G1081" s="527" t="s">
        <v>3662</v>
      </c>
      <c r="H1081" s="525" t="s">
        <v>3666</v>
      </c>
      <c r="I1081" s="474"/>
      <c r="J1081" s="475" t="s">
        <v>5261</v>
      </c>
    </row>
    <row r="1082" spans="1:10" ht="14.25" customHeight="1">
      <c r="A1082" s="520" t="s">
        <v>1755</v>
      </c>
      <c r="B1082" s="521" t="s">
        <v>1756</v>
      </c>
      <c r="C1082" s="520" t="s">
        <v>213</v>
      </c>
      <c r="D1082" s="472">
        <v>3.7130000000000001</v>
      </c>
      <c r="E1082" s="522">
        <v>2.8610000000000002</v>
      </c>
      <c r="F1082" s="523" t="s">
        <v>4166</v>
      </c>
      <c r="G1082" s="527" t="s">
        <v>3662</v>
      </c>
      <c r="H1082" s="525" t="s">
        <v>3666</v>
      </c>
      <c r="I1082" s="474"/>
      <c r="J1082" s="475" t="s">
        <v>5262</v>
      </c>
    </row>
    <row r="1083" spans="1:10" ht="14.25" customHeight="1">
      <c r="A1083" s="520" t="s">
        <v>1757</v>
      </c>
      <c r="B1083" s="521" t="s">
        <v>1758</v>
      </c>
      <c r="C1083" s="520" t="s">
        <v>213</v>
      </c>
      <c r="D1083" s="472">
        <v>3.004</v>
      </c>
      <c r="E1083" s="522">
        <v>2.3140000000000001</v>
      </c>
      <c r="F1083" s="523" t="s">
        <v>4166</v>
      </c>
      <c r="G1083" s="527" t="s">
        <v>3662</v>
      </c>
      <c r="H1083" s="525" t="s">
        <v>3666</v>
      </c>
      <c r="I1083" s="474"/>
      <c r="J1083" s="475" t="s">
        <v>5263</v>
      </c>
    </row>
    <row r="1084" spans="1:10" ht="14.25" customHeight="1">
      <c r="A1084" s="520" t="s">
        <v>1759</v>
      </c>
      <c r="B1084" s="521" t="s">
        <v>1760</v>
      </c>
      <c r="C1084" s="520" t="s">
        <v>213</v>
      </c>
      <c r="D1084" s="472">
        <v>14.391</v>
      </c>
      <c r="E1084" s="522">
        <v>11.09</v>
      </c>
      <c r="F1084" s="523" t="s">
        <v>4166</v>
      </c>
      <c r="G1084" s="527" t="s">
        <v>3662</v>
      </c>
      <c r="H1084" s="525" t="s">
        <v>3666</v>
      </c>
      <c r="I1084" s="474"/>
      <c r="J1084" s="475" t="s">
        <v>5264</v>
      </c>
    </row>
    <row r="1085" spans="1:10" ht="14.25" customHeight="1">
      <c r="A1085" s="520" t="s">
        <v>1761</v>
      </c>
      <c r="B1085" s="521" t="s">
        <v>1762</v>
      </c>
      <c r="C1085" s="520" t="s">
        <v>213</v>
      </c>
      <c r="D1085" s="472">
        <v>12.435</v>
      </c>
      <c r="E1085" s="522">
        <v>9.5839999999999996</v>
      </c>
      <c r="F1085" s="523" t="s">
        <v>4166</v>
      </c>
      <c r="G1085" s="527" t="s">
        <v>3662</v>
      </c>
      <c r="H1085" s="525" t="s">
        <v>3666</v>
      </c>
      <c r="I1085" s="474"/>
      <c r="J1085" s="475" t="s">
        <v>5265</v>
      </c>
    </row>
    <row r="1086" spans="1:10" ht="14.25" customHeight="1">
      <c r="A1086" s="520" t="s">
        <v>1763</v>
      </c>
      <c r="B1086" s="521" t="s">
        <v>1764</v>
      </c>
      <c r="C1086" s="520" t="s">
        <v>213</v>
      </c>
      <c r="D1086" s="472">
        <v>22.734999999999999</v>
      </c>
      <c r="E1086" s="522">
        <v>17.521000000000001</v>
      </c>
      <c r="F1086" s="523" t="s">
        <v>4166</v>
      </c>
      <c r="G1086" s="527" t="s">
        <v>3662</v>
      </c>
      <c r="H1086" s="525" t="s">
        <v>3666</v>
      </c>
      <c r="I1086" s="474"/>
      <c r="J1086" s="475" t="s">
        <v>5266</v>
      </c>
    </row>
    <row r="1087" spans="1:10" ht="14.25" customHeight="1">
      <c r="A1087" s="520" t="s">
        <v>1765</v>
      </c>
      <c r="B1087" s="521" t="s">
        <v>1766</v>
      </c>
      <c r="C1087" s="520" t="s">
        <v>213</v>
      </c>
      <c r="D1087" s="472">
        <v>7.423</v>
      </c>
      <c r="E1087" s="522">
        <v>5.7210000000000001</v>
      </c>
      <c r="F1087" s="523" t="s">
        <v>4166</v>
      </c>
      <c r="G1087" s="527" t="s">
        <v>3662</v>
      </c>
      <c r="H1087" s="525" t="s">
        <v>3666</v>
      </c>
      <c r="I1087" s="474"/>
      <c r="J1087" s="475" t="s">
        <v>5267</v>
      </c>
    </row>
    <row r="1088" spans="1:10" ht="14.25" customHeight="1">
      <c r="A1088" s="520" t="s">
        <v>1767</v>
      </c>
      <c r="B1088" s="521" t="s">
        <v>1768</v>
      </c>
      <c r="C1088" s="520" t="s">
        <v>213</v>
      </c>
      <c r="D1088" s="472">
        <v>3.7130000000000001</v>
      </c>
      <c r="E1088" s="522">
        <v>2.8610000000000002</v>
      </c>
      <c r="F1088" s="523" t="s">
        <v>4166</v>
      </c>
      <c r="G1088" s="527" t="s">
        <v>3662</v>
      </c>
      <c r="H1088" s="525" t="s">
        <v>3666</v>
      </c>
      <c r="I1088" s="474"/>
      <c r="J1088" s="475" t="s">
        <v>5268</v>
      </c>
    </row>
    <row r="1089" spans="1:10" ht="14.25" customHeight="1">
      <c r="A1089" s="520" t="s">
        <v>1769</v>
      </c>
      <c r="B1089" s="521" t="s">
        <v>1770</v>
      </c>
      <c r="C1089" s="520" t="s">
        <v>213</v>
      </c>
      <c r="D1089" s="472">
        <v>3.004</v>
      </c>
      <c r="E1089" s="522">
        <v>2.3140000000000001</v>
      </c>
      <c r="F1089" s="523" t="s">
        <v>4166</v>
      </c>
      <c r="G1089" s="527" t="s">
        <v>3662</v>
      </c>
      <c r="H1089" s="525" t="s">
        <v>3666</v>
      </c>
      <c r="I1089" s="474"/>
      <c r="J1089" s="475" t="s">
        <v>5269</v>
      </c>
    </row>
    <row r="1090" spans="1:10" ht="14.25" customHeight="1">
      <c r="A1090" s="520" t="s">
        <v>1771</v>
      </c>
      <c r="B1090" s="521" t="s">
        <v>1772</v>
      </c>
      <c r="C1090" s="520" t="s">
        <v>213</v>
      </c>
      <c r="D1090" s="472">
        <v>14.391</v>
      </c>
      <c r="E1090" s="522">
        <v>11.09</v>
      </c>
      <c r="F1090" s="523" t="s">
        <v>4166</v>
      </c>
      <c r="G1090" s="527" t="s">
        <v>3662</v>
      </c>
      <c r="H1090" s="525" t="s">
        <v>3666</v>
      </c>
      <c r="I1090" s="474"/>
      <c r="J1090" s="475" t="s">
        <v>5270</v>
      </c>
    </row>
    <row r="1091" spans="1:10" ht="14.25" customHeight="1">
      <c r="A1091" s="520" t="s">
        <v>1773</v>
      </c>
      <c r="B1091" s="521" t="s">
        <v>1774</v>
      </c>
      <c r="C1091" s="520" t="s">
        <v>213</v>
      </c>
      <c r="D1091" s="472">
        <v>12.435</v>
      </c>
      <c r="E1091" s="522">
        <v>9.5839999999999996</v>
      </c>
      <c r="F1091" s="523" t="s">
        <v>4166</v>
      </c>
      <c r="G1091" s="527" t="s">
        <v>3662</v>
      </c>
      <c r="H1091" s="525" t="s">
        <v>3666</v>
      </c>
      <c r="I1091" s="474"/>
      <c r="J1091" s="475" t="s">
        <v>5271</v>
      </c>
    </row>
    <row r="1092" spans="1:10" ht="14.25" customHeight="1">
      <c r="A1092" s="520" t="s">
        <v>1775</v>
      </c>
      <c r="B1092" s="521" t="s">
        <v>1776</v>
      </c>
      <c r="C1092" s="520" t="s">
        <v>213</v>
      </c>
      <c r="D1092" s="472">
        <v>22.734999999999999</v>
      </c>
      <c r="E1092" s="522">
        <v>17.521000000000001</v>
      </c>
      <c r="F1092" s="523" t="s">
        <v>4166</v>
      </c>
      <c r="G1092" s="527" t="s">
        <v>3662</v>
      </c>
      <c r="H1092" s="525" t="s">
        <v>3666</v>
      </c>
      <c r="I1092" s="474"/>
      <c r="J1092" s="475" t="s">
        <v>5272</v>
      </c>
    </row>
    <row r="1093" spans="1:10" ht="14.25" customHeight="1">
      <c r="A1093" s="520" t="s">
        <v>1777</v>
      </c>
      <c r="B1093" s="521" t="s">
        <v>1778</v>
      </c>
      <c r="C1093" s="520" t="s">
        <v>213</v>
      </c>
      <c r="D1093" s="472">
        <v>7.423</v>
      </c>
      <c r="E1093" s="522">
        <v>5.7210000000000001</v>
      </c>
      <c r="F1093" s="523" t="s">
        <v>4166</v>
      </c>
      <c r="G1093" s="527" t="s">
        <v>3662</v>
      </c>
      <c r="H1093" s="525" t="s">
        <v>3666</v>
      </c>
      <c r="I1093" s="474"/>
      <c r="J1093" s="475" t="s">
        <v>5273</v>
      </c>
    </row>
    <row r="1094" spans="1:10" ht="14.25" customHeight="1">
      <c r="A1094" s="520" t="s">
        <v>1779</v>
      </c>
      <c r="B1094" s="521" t="s">
        <v>1780</v>
      </c>
      <c r="C1094" s="520" t="s">
        <v>213</v>
      </c>
      <c r="D1094" s="472">
        <v>3.7130000000000001</v>
      </c>
      <c r="E1094" s="522">
        <v>2.8610000000000002</v>
      </c>
      <c r="F1094" s="523" t="s">
        <v>4166</v>
      </c>
      <c r="G1094" s="527" t="s">
        <v>3662</v>
      </c>
      <c r="H1094" s="525" t="s">
        <v>3666</v>
      </c>
      <c r="I1094" s="474"/>
      <c r="J1094" s="475" t="s">
        <v>5274</v>
      </c>
    </row>
    <row r="1095" spans="1:10" ht="14.25" customHeight="1">
      <c r="A1095" s="520" t="s">
        <v>1781</v>
      </c>
      <c r="B1095" s="521" t="s">
        <v>1782</v>
      </c>
      <c r="C1095" s="520" t="s">
        <v>213</v>
      </c>
      <c r="D1095" s="472">
        <v>3.004</v>
      </c>
      <c r="E1095" s="522">
        <v>2.3140000000000001</v>
      </c>
      <c r="F1095" s="523" t="s">
        <v>4166</v>
      </c>
      <c r="G1095" s="527" t="s">
        <v>3662</v>
      </c>
      <c r="H1095" s="525" t="s">
        <v>3666</v>
      </c>
      <c r="I1095" s="474"/>
      <c r="J1095" s="475" t="s">
        <v>5275</v>
      </c>
    </row>
    <row r="1096" spans="1:10" ht="14.25" customHeight="1">
      <c r="A1096" s="520" t="s">
        <v>1783</v>
      </c>
      <c r="B1096" s="521" t="s">
        <v>1784</v>
      </c>
      <c r="C1096" s="520" t="s">
        <v>213</v>
      </c>
      <c r="D1096" s="472">
        <v>14.391</v>
      </c>
      <c r="E1096" s="522">
        <v>11.09</v>
      </c>
      <c r="F1096" s="523" t="s">
        <v>4166</v>
      </c>
      <c r="G1096" s="527" t="s">
        <v>3662</v>
      </c>
      <c r="H1096" s="525" t="s">
        <v>3666</v>
      </c>
      <c r="I1096" s="474"/>
      <c r="J1096" s="475" t="s">
        <v>5276</v>
      </c>
    </row>
    <row r="1097" spans="1:10" ht="14.25" customHeight="1">
      <c r="A1097" s="520" t="s">
        <v>1785</v>
      </c>
      <c r="B1097" s="521" t="s">
        <v>1786</v>
      </c>
      <c r="C1097" s="520" t="s">
        <v>213</v>
      </c>
      <c r="D1097" s="472">
        <v>12.435</v>
      </c>
      <c r="E1097" s="522">
        <v>9.5839999999999996</v>
      </c>
      <c r="F1097" s="523" t="s">
        <v>4166</v>
      </c>
      <c r="G1097" s="527" t="s">
        <v>3662</v>
      </c>
      <c r="H1097" s="525" t="s">
        <v>3666</v>
      </c>
      <c r="I1097" s="474"/>
      <c r="J1097" s="475" t="s">
        <v>5277</v>
      </c>
    </row>
    <row r="1098" spans="1:10" ht="14.25" customHeight="1">
      <c r="A1098" s="520" t="s">
        <v>1787</v>
      </c>
      <c r="B1098" s="521" t="s">
        <v>1788</v>
      </c>
      <c r="C1098" s="520" t="s">
        <v>213</v>
      </c>
      <c r="D1098" s="472">
        <v>22.734999999999999</v>
      </c>
      <c r="E1098" s="522">
        <v>17.521000000000001</v>
      </c>
      <c r="F1098" s="523" t="s">
        <v>4166</v>
      </c>
      <c r="G1098" s="527" t="s">
        <v>3662</v>
      </c>
      <c r="H1098" s="525" t="s">
        <v>3666</v>
      </c>
      <c r="I1098" s="474"/>
      <c r="J1098" s="475" t="s">
        <v>5278</v>
      </c>
    </row>
    <row r="1099" spans="1:10" ht="14.25" customHeight="1">
      <c r="A1099" s="520" t="s">
        <v>1789</v>
      </c>
      <c r="B1099" s="521" t="s">
        <v>1790</v>
      </c>
      <c r="C1099" s="520" t="s">
        <v>213</v>
      </c>
      <c r="D1099" s="472">
        <v>11.02</v>
      </c>
      <c r="E1099" s="522">
        <v>8.4930000000000003</v>
      </c>
      <c r="F1099" s="523" t="s">
        <v>4166</v>
      </c>
      <c r="G1099" s="527" t="s">
        <v>3662</v>
      </c>
      <c r="H1099" s="525" t="s">
        <v>3666</v>
      </c>
      <c r="I1099" s="474"/>
      <c r="J1099" s="475" t="s">
        <v>5279</v>
      </c>
    </row>
    <row r="1100" spans="1:10" ht="14.25" customHeight="1">
      <c r="A1100" s="520" t="s">
        <v>1791</v>
      </c>
      <c r="B1100" s="521" t="s">
        <v>1792</v>
      </c>
      <c r="C1100" s="520" t="s">
        <v>213</v>
      </c>
      <c r="D1100" s="472">
        <v>4.1449999999999996</v>
      </c>
      <c r="E1100" s="522">
        <v>3.194</v>
      </c>
      <c r="F1100" s="523" t="s">
        <v>4166</v>
      </c>
      <c r="G1100" s="527" t="s">
        <v>3662</v>
      </c>
      <c r="H1100" s="525" t="s">
        <v>3666</v>
      </c>
      <c r="I1100" s="474"/>
      <c r="J1100" s="475" t="s">
        <v>5280</v>
      </c>
    </row>
    <row r="1101" spans="1:10" ht="14.25" customHeight="1">
      <c r="A1101" s="520" t="s">
        <v>1793</v>
      </c>
      <c r="B1101" s="521" t="s">
        <v>1794</v>
      </c>
      <c r="C1101" s="520" t="s">
        <v>213</v>
      </c>
      <c r="D1101" s="472">
        <v>3.9860000000000002</v>
      </c>
      <c r="E1101" s="522">
        <v>3.0710000000000002</v>
      </c>
      <c r="F1101" s="523" t="s">
        <v>4166</v>
      </c>
      <c r="G1101" s="527" t="s">
        <v>3662</v>
      </c>
      <c r="H1101" s="525" t="s">
        <v>3666</v>
      </c>
      <c r="I1101" s="474"/>
      <c r="J1101" s="475" t="s">
        <v>5281</v>
      </c>
    </row>
    <row r="1102" spans="1:10" ht="14.25" customHeight="1">
      <c r="A1102" s="520" t="s">
        <v>1795</v>
      </c>
      <c r="B1102" s="521" t="s">
        <v>1796</v>
      </c>
      <c r="C1102" s="520" t="s">
        <v>213</v>
      </c>
      <c r="D1102" s="472">
        <v>0.624</v>
      </c>
      <c r="E1102" s="522">
        <v>0.54800000000000004</v>
      </c>
      <c r="F1102" s="523" t="s">
        <v>4166</v>
      </c>
      <c r="G1102" s="524"/>
      <c r="H1102" s="525" t="s">
        <v>3666</v>
      </c>
      <c r="I1102" s="474"/>
      <c r="J1102" s="475" t="s">
        <v>5282</v>
      </c>
    </row>
    <row r="1103" spans="1:10" ht="14.25" customHeight="1">
      <c r="A1103" s="520" t="s">
        <v>1797</v>
      </c>
      <c r="B1103" s="521" t="s">
        <v>1798</v>
      </c>
      <c r="C1103" s="520" t="s">
        <v>213</v>
      </c>
      <c r="D1103" s="472">
        <v>1.111</v>
      </c>
      <c r="E1103" s="522">
        <v>0.85599999999999998</v>
      </c>
      <c r="F1103" s="523" t="s">
        <v>4166</v>
      </c>
      <c r="G1103" s="527" t="s">
        <v>3662</v>
      </c>
      <c r="H1103" s="525" t="s">
        <v>3666</v>
      </c>
      <c r="I1103" s="474"/>
      <c r="J1103" s="475" t="s">
        <v>5283</v>
      </c>
    </row>
    <row r="1104" spans="1:10" ht="14.25" customHeight="1">
      <c r="A1104" s="520" t="s">
        <v>1799</v>
      </c>
      <c r="B1104" s="521" t="s">
        <v>1800</v>
      </c>
      <c r="C1104" s="520" t="s">
        <v>213</v>
      </c>
      <c r="D1104" s="472">
        <v>21.756</v>
      </c>
      <c r="E1104" s="522">
        <v>16.768999999999998</v>
      </c>
      <c r="F1104" s="523" t="s">
        <v>4166</v>
      </c>
      <c r="G1104" s="527" t="s">
        <v>3662</v>
      </c>
      <c r="H1104" s="525" t="s">
        <v>3666</v>
      </c>
      <c r="I1104" s="474"/>
      <c r="J1104" s="475" t="s">
        <v>5284</v>
      </c>
    </row>
    <row r="1105" spans="1:10" ht="14.25" customHeight="1">
      <c r="A1105" s="520" t="s">
        <v>1801</v>
      </c>
      <c r="B1105" s="521" t="s">
        <v>1802</v>
      </c>
      <c r="C1105" s="520" t="s">
        <v>213</v>
      </c>
      <c r="D1105" s="472">
        <v>16.55</v>
      </c>
      <c r="E1105" s="522">
        <v>12.755000000000001</v>
      </c>
      <c r="F1105" s="523" t="s">
        <v>4166</v>
      </c>
      <c r="G1105" s="527" t="s">
        <v>3662</v>
      </c>
      <c r="H1105" s="525" t="s">
        <v>3666</v>
      </c>
      <c r="I1105" s="474"/>
      <c r="J1105" s="475" t="s">
        <v>5285</v>
      </c>
    </row>
    <row r="1106" spans="1:10" ht="14.25" customHeight="1">
      <c r="A1106" s="520" t="s">
        <v>1803</v>
      </c>
      <c r="B1106" s="521" t="s">
        <v>1804</v>
      </c>
      <c r="C1106" s="520" t="s">
        <v>213</v>
      </c>
      <c r="D1106" s="472">
        <v>36.603000000000002</v>
      </c>
      <c r="E1106" s="522">
        <v>28.21</v>
      </c>
      <c r="F1106" s="523" t="s">
        <v>4166</v>
      </c>
      <c r="G1106" s="527" t="s">
        <v>3662</v>
      </c>
      <c r="H1106" s="525" t="s">
        <v>3666</v>
      </c>
      <c r="I1106" s="474"/>
      <c r="J1106" s="475" t="s">
        <v>5286</v>
      </c>
    </row>
    <row r="1107" spans="1:10" ht="14.25" customHeight="1">
      <c r="A1107" s="520" t="s">
        <v>1805</v>
      </c>
      <c r="B1107" s="521" t="s">
        <v>1806</v>
      </c>
      <c r="C1107" s="520" t="s">
        <v>213</v>
      </c>
      <c r="D1107" s="472">
        <v>11.02</v>
      </c>
      <c r="E1107" s="522">
        <v>8.4930000000000003</v>
      </c>
      <c r="F1107" s="523" t="s">
        <v>4166</v>
      </c>
      <c r="G1107" s="527" t="s">
        <v>3662</v>
      </c>
      <c r="H1107" s="525" t="s">
        <v>3666</v>
      </c>
      <c r="I1107" s="474"/>
      <c r="J1107" s="475" t="s">
        <v>5287</v>
      </c>
    </row>
    <row r="1108" spans="1:10" ht="14.25" customHeight="1">
      <c r="A1108" s="520" t="s">
        <v>1807</v>
      </c>
      <c r="B1108" s="521" t="s">
        <v>1808</v>
      </c>
      <c r="C1108" s="520" t="s">
        <v>213</v>
      </c>
      <c r="D1108" s="472">
        <v>4.1449999999999996</v>
      </c>
      <c r="E1108" s="522">
        <v>3.194</v>
      </c>
      <c r="F1108" s="523" t="s">
        <v>4166</v>
      </c>
      <c r="G1108" s="527" t="s">
        <v>3662</v>
      </c>
      <c r="H1108" s="525" t="s">
        <v>3666</v>
      </c>
      <c r="I1108" s="474"/>
      <c r="J1108" s="475" t="s">
        <v>5288</v>
      </c>
    </row>
    <row r="1109" spans="1:10" ht="14.25" customHeight="1">
      <c r="A1109" s="520" t="s">
        <v>1809</v>
      </c>
      <c r="B1109" s="521" t="s">
        <v>1810</v>
      </c>
      <c r="C1109" s="520" t="s">
        <v>213</v>
      </c>
      <c r="D1109" s="472">
        <v>3.9860000000000002</v>
      </c>
      <c r="E1109" s="522">
        <v>3.0710000000000002</v>
      </c>
      <c r="F1109" s="523" t="s">
        <v>4166</v>
      </c>
      <c r="G1109" s="527" t="s">
        <v>3662</v>
      </c>
      <c r="H1109" s="525" t="s">
        <v>3666</v>
      </c>
      <c r="I1109" s="474"/>
      <c r="J1109" s="475" t="s">
        <v>5289</v>
      </c>
    </row>
    <row r="1110" spans="1:10" ht="14.25" customHeight="1">
      <c r="A1110" s="520" t="s">
        <v>1811</v>
      </c>
      <c r="B1110" s="521" t="s">
        <v>1812</v>
      </c>
      <c r="C1110" s="520" t="s">
        <v>213</v>
      </c>
      <c r="D1110" s="472">
        <v>17.140999999999998</v>
      </c>
      <c r="E1110" s="522">
        <v>13.211</v>
      </c>
      <c r="F1110" s="523" t="s">
        <v>4166</v>
      </c>
      <c r="G1110" s="527" t="s">
        <v>3662</v>
      </c>
      <c r="H1110" s="525" t="s">
        <v>3666</v>
      </c>
      <c r="I1110" s="474"/>
      <c r="J1110" s="475" t="s">
        <v>5290</v>
      </c>
    </row>
    <row r="1111" spans="1:10" ht="14.25" customHeight="1">
      <c r="A1111" s="520" t="s">
        <v>1813</v>
      </c>
      <c r="B1111" s="521" t="s">
        <v>1814</v>
      </c>
      <c r="C1111" s="520" t="s">
        <v>213</v>
      </c>
      <c r="D1111" s="472">
        <v>14.414</v>
      </c>
      <c r="E1111" s="522">
        <v>11.108000000000001</v>
      </c>
      <c r="F1111" s="523" t="s">
        <v>4166</v>
      </c>
      <c r="G1111" s="527" t="s">
        <v>3662</v>
      </c>
      <c r="H1111" s="525" t="s">
        <v>3666</v>
      </c>
      <c r="I1111" s="474"/>
      <c r="J1111" s="475" t="s">
        <v>5291</v>
      </c>
    </row>
    <row r="1112" spans="1:10" ht="14.25" customHeight="1">
      <c r="A1112" s="520" t="s">
        <v>1815</v>
      </c>
      <c r="B1112" s="521" t="s">
        <v>1816</v>
      </c>
      <c r="C1112" s="520" t="s">
        <v>213</v>
      </c>
      <c r="D1112" s="472">
        <v>36.603000000000002</v>
      </c>
      <c r="E1112" s="522">
        <v>28.21</v>
      </c>
      <c r="F1112" s="523" t="s">
        <v>4166</v>
      </c>
      <c r="G1112" s="527" t="s">
        <v>3662</v>
      </c>
      <c r="H1112" s="525" t="s">
        <v>3666</v>
      </c>
      <c r="I1112" s="474"/>
      <c r="J1112" s="475" t="s">
        <v>5292</v>
      </c>
    </row>
    <row r="1113" spans="1:10" ht="14.25" customHeight="1">
      <c r="A1113" s="520" t="s">
        <v>1817</v>
      </c>
      <c r="B1113" s="521" t="s">
        <v>1818</v>
      </c>
      <c r="C1113" s="520" t="s">
        <v>213</v>
      </c>
      <c r="D1113" s="472">
        <v>13.836</v>
      </c>
      <c r="E1113" s="522">
        <v>10.664</v>
      </c>
      <c r="F1113" s="523" t="s">
        <v>4166</v>
      </c>
      <c r="G1113" s="527" t="s">
        <v>3662</v>
      </c>
      <c r="H1113" s="525" t="s">
        <v>3666</v>
      </c>
      <c r="I1113" s="474"/>
      <c r="J1113" s="475" t="s">
        <v>5293</v>
      </c>
    </row>
    <row r="1114" spans="1:10" ht="14.25" customHeight="1">
      <c r="A1114" s="520" t="s">
        <v>1819</v>
      </c>
      <c r="B1114" s="521" t="s">
        <v>1820</v>
      </c>
      <c r="C1114" s="520" t="s">
        <v>213</v>
      </c>
      <c r="D1114" s="472">
        <v>7.5730000000000004</v>
      </c>
      <c r="E1114" s="522">
        <v>5.835</v>
      </c>
      <c r="F1114" s="523" t="s">
        <v>4166</v>
      </c>
      <c r="G1114" s="527" t="s">
        <v>3662</v>
      </c>
      <c r="H1114" s="525" t="s">
        <v>3666</v>
      </c>
      <c r="I1114" s="474"/>
      <c r="J1114" s="475" t="s">
        <v>5294</v>
      </c>
    </row>
    <row r="1115" spans="1:10" ht="14.25" customHeight="1">
      <c r="A1115" s="520" t="s">
        <v>1821</v>
      </c>
      <c r="B1115" s="521" t="s">
        <v>1822</v>
      </c>
      <c r="C1115" s="520" t="s">
        <v>213</v>
      </c>
      <c r="D1115" s="472">
        <v>5.71</v>
      </c>
      <c r="E1115" s="522">
        <v>4.4000000000000004</v>
      </c>
      <c r="F1115" s="523" t="s">
        <v>4166</v>
      </c>
      <c r="G1115" s="527" t="s">
        <v>3662</v>
      </c>
      <c r="H1115" s="525" t="s">
        <v>3666</v>
      </c>
      <c r="I1115" s="474"/>
      <c r="J1115" s="475" t="s">
        <v>5295</v>
      </c>
    </row>
    <row r="1116" spans="1:10" ht="14.25" customHeight="1">
      <c r="A1116" s="520" t="s">
        <v>1823</v>
      </c>
      <c r="B1116" s="521" t="s">
        <v>1824</v>
      </c>
      <c r="C1116" s="520" t="s">
        <v>213</v>
      </c>
      <c r="D1116" s="472">
        <v>3.492</v>
      </c>
      <c r="E1116" s="522">
        <v>3.2559999999999998</v>
      </c>
      <c r="F1116" s="523" t="s">
        <v>4166</v>
      </c>
      <c r="G1116" s="524" t="s">
        <v>3663</v>
      </c>
      <c r="H1116" s="525" t="s">
        <v>3666</v>
      </c>
      <c r="I1116" s="474"/>
      <c r="J1116" s="475" t="s">
        <v>5296</v>
      </c>
    </row>
    <row r="1117" spans="1:10" ht="14.25" customHeight="1">
      <c r="A1117" s="520" t="s">
        <v>1825</v>
      </c>
      <c r="B1117" s="521" t="s">
        <v>1826</v>
      </c>
      <c r="C1117" s="520" t="s">
        <v>213</v>
      </c>
      <c r="D1117" s="472">
        <v>46.765000000000001</v>
      </c>
      <c r="E1117" s="522">
        <v>36.042999999999999</v>
      </c>
      <c r="F1117" s="523" t="s">
        <v>4166</v>
      </c>
      <c r="G1117" s="527" t="s">
        <v>3662</v>
      </c>
      <c r="H1117" s="525" t="s">
        <v>3666</v>
      </c>
      <c r="I1117" s="474"/>
      <c r="J1117" s="475" t="s">
        <v>5297</v>
      </c>
    </row>
    <row r="1118" spans="1:10" ht="14.25" customHeight="1">
      <c r="A1118" s="520" t="s">
        <v>1827</v>
      </c>
      <c r="B1118" s="521" t="s">
        <v>1828</v>
      </c>
      <c r="C1118" s="520" t="s">
        <v>213</v>
      </c>
      <c r="D1118" s="472">
        <v>11.558</v>
      </c>
      <c r="E1118" s="522">
        <v>10.782</v>
      </c>
      <c r="F1118" s="523" t="s">
        <v>4166</v>
      </c>
      <c r="G1118" s="524" t="s">
        <v>3663</v>
      </c>
      <c r="H1118" s="525" t="s">
        <v>3666</v>
      </c>
      <c r="I1118" s="474"/>
      <c r="J1118" s="475" t="s">
        <v>5298</v>
      </c>
    </row>
    <row r="1119" spans="1:10" ht="14.25" customHeight="1">
      <c r="A1119" s="520" t="s">
        <v>1829</v>
      </c>
      <c r="B1119" s="521" t="s">
        <v>1830</v>
      </c>
      <c r="C1119" s="520" t="s">
        <v>213</v>
      </c>
      <c r="D1119" s="472">
        <v>7.6509999999999998</v>
      </c>
      <c r="E1119" s="522">
        <v>7.1340000000000003</v>
      </c>
      <c r="F1119" s="523" t="s">
        <v>4166</v>
      </c>
      <c r="G1119" s="524" t="s">
        <v>3663</v>
      </c>
      <c r="H1119" s="525" t="s">
        <v>3666</v>
      </c>
      <c r="I1119" s="474"/>
      <c r="J1119" s="475" t="s">
        <v>5299</v>
      </c>
    </row>
    <row r="1120" spans="1:10" ht="14.25" customHeight="1">
      <c r="A1120" s="520" t="s">
        <v>1831</v>
      </c>
      <c r="B1120" s="521" t="s">
        <v>1832</v>
      </c>
      <c r="C1120" s="520" t="s">
        <v>213</v>
      </c>
      <c r="D1120" s="472">
        <v>11.558</v>
      </c>
      <c r="E1120" s="522">
        <v>10.782</v>
      </c>
      <c r="F1120" s="523" t="s">
        <v>4166</v>
      </c>
      <c r="G1120" s="524" t="s">
        <v>3663</v>
      </c>
      <c r="H1120" s="525" t="s">
        <v>3666</v>
      </c>
      <c r="I1120" s="474"/>
      <c r="J1120" s="475" t="s">
        <v>5300</v>
      </c>
    </row>
    <row r="1121" spans="1:10" ht="14.25" customHeight="1">
      <c r="A1121" s="520" t="s">
        <v>1833</v>
      </c>
      <c r="B1121" s="521" t="s">
        <v>1834</v>
      </c>
      <c r="C1121" s="520" t="s">
        <v>213</v>
      </c>
      <c r="D1121" s="472">
        <v>21.495999999999999</v>
      </c>
      <c r="E1121" s="522">
        <v>20.048999999999999</v>
      </c>
      <c r="F1121" s="523" t="s">
        <v>4166</v>
      </c>
      <c r="G1121" s="524" t="s">
        <v>3663</v>
      </c>
      <c r="H1121" s="525" t="s">
        <v>3666</v>
      </c>
      <c r="I1121" s="474"/>
      <c r="J1121" s="475" t="s">
        <v>5301</v>
      </c>
    </row>
    <row r="1122" spans="1:10" ht="14.25" customHeight="1">
      <c r="A1122" s="520" t="s">
        <v>1835</v>
      </c>
      <c r="B1122" s="521" t="s">
        <v>1836</v>
      </c>
      <c r="C1122" s="520" t="s">
        <v>213</v>
      </c>
      <c r="D1122" s="472">
        <v>9.9830000000000005</v>
      </c>
      <c r="E1122" s="522">
        <v>9.3079999999999998</v>
      </c>
      <c r="F1122" s="523" t="s">
        <v>4166</v>
      </c>
      <c r="G1122" s="524" t="s">
        <v>3663</v>
      </c>
      <c r="H1122" s="525" t="s">
        <v>3666</v>
      </c>
      <c r="I1122" s="474"/>
      <c r="J1122" s="475" t="s">
        <v>5302</v>
      </c>
    </row>
    <row r="1123" spans="1:10" ht="14.25" customHeight="1">
      <c r="A1123" s="520" t="s">
        <v>1837</v>
      </c>
      <c r="B1123" s="521" t="s">
        <v>1838</v>
      </c>
      <c r="C1123" s="520" t="s">
        <v>213</v>
      </c>
      <c r="D1123" s="472">
        <v>27.03</v>
      </c>
      <c r="E1123" s="522">
        <v>25.202999999999999</v>
      </c>
      <c r="F1123" s="523" t="s">
        <v>4166</v>
      </c>
      <c r="G1123" s="524" t="s">
        <v>3663</v>
      </c>
      <c r="H1123" s="525" t="s">
        <v>3666</v>
      </c>
      <c r="I1123" s="474"/>
      <c r="J1123" s="475" t="s">
        <v>5303</v>
      </c>
    </row>
    <row r="1124" spans="1:10" ht="14.25" customHeight="1">
      <c r="A1124" s="520" t="s">
        <v>1839</v>
      </c>
      <c r="B1124" s="521" t="s">
        <v>1840</v>
      </c>
      <c r="C1124" s="520" t="s">
        <v>213</v>
      </c>
      <c r="D1124" s="472">
        <v>10.945</v>
      </c>
      <c r="E1124" s="522">
        <v>10.205</v>
      </c>
      <c r="F1124" s="523" t="s">
        <v>4166</v>
      </c>
      <c r="G1124" s="524" t="s">
        <v>3663</v>
      </c>
      <c r="H1124" s="525" t="s">
        <v>3666</v>
      </c>
      <c r="I1124" s="474"/>
      <c r="J1124" s="475" t="s">
        <v>5304</v>
      </c>
    </row>
    <row r="1125" spans="1:10" ht="14.25" customHeight="1">
      <c r="A1125" s="520" t="s">
        <v>1841</v>
      </c>
      <c r="B1125" s="521" t="s">
        <v>1842</v>
      </c>
      <c r="C1125" s="520" t="s">
        <v>213</v>
      </c>
      <c r="D1125" s="472">
        <v>10.494</v>
      </c>
      <c r="E1125" s="522">
        <v>9.7780000000000005</v>
      </c>
      <c r="F1125" s="523" t="s">
        <v>4166</v>
      </c>
      <c r="G1125" s="524" t="s">
        <v>3663</v>
      </c>
      <c r="H1125" s="525" t="s">
        <v>3666</v>
      </c>
      <c r="I1125" s="474"/>
      <c r="J1125" s="475" t="s">
        <v>5305</v>
      </c>
    </row>
    <row r="1126" spans="1:10" ht="14.25" customHeight="1">
      <c r="A1126" s="520" t="s">
        <v>1843</v>
      </c>
      <c r="B1126" s="521" t="s">
        <v>1844</v>
      </c>
      <c r="C1126" s="520" t="s">
        <v>213</v>
      </c>
      <c r="D1126" s="472">
        <v>7.6319999999999997</v>
      </c>
      <c r="E1126" s="522">
        <v>7.1159999999999997</v>
      </c>
      <c r="F1126" s="523" t="s">
        <v>4166</v>
      </c>
      <c r="G1126" s="524" t="s">
        <v>3663</v>
      </c>
      <c r="H1126" s="525" t="s">
        <v>3666</v>
      </c>
      <c r="I1126" s="474"/>
      <c r="J1126" s="475" t="s">
        <v>5306</v>
      </c>
    </row>
    <row r="1127" spans="1:10" ht="14.25" customHeight="1">
      <c r="A1127" s="520" t="s">
        <v>1845</v>
      </c>
      <c r="B1127" s="521" t="s">
        <v>1846</v>
      </c>
      <c r="C1127" s="520" t="s">
        <v>213</v>
      </c>
      <c r="D1127" s="472">
        <v>10.494</v>
      </c>
      <c r="E1127" s="522">
        <v>9.7780000000000005</v>
      </c>
      <c r="F1127" s="523" t="s">
        <v>4166</v>
      </c>
      <c r="G1127" s="524" t="s">
        <v>3663</v>
      </c>
      <c r="H1127" s="525" t="s">
        <v>3666</v>
      </c>
      <c r="I1127" s="474"/>
      <c r="J1127" s="475" t="s">
        <v>5307</v>
      </c>
    </row>
    <row r="1128" spans="1:10" ht="14.25" customHeight="1">
      <c r="A1128" s="520" t="s">
        <v>1847</v>
      </c>
      <c r="B1128" s="521" t="s">
        <v>1848</v>
      </c>
      <c r="C1128" s="520" t="s">
        <v>213</v>
      </c>
      <c r="D1128" s="472">
        <v>7.6319999999999997</v>
      </c>
      <c r="E1128" s="522">
        <v>7.1159999999999997</v>
      </c>
      <c r="F1128" s="523" t="s">
        <v>4166</v>
      </c>
      <c r="G1128" s="524" t="s">
        <v>3663</v>
      </c>
      <c r="H1128" s="525" t="s">
        <v>3666</v>
      </c>
      <c r="I1128" s="474"/>
      <c r="J1128" s="475" t="s">
        <v>5308</v>
      </c>
    </row>
    <row r="1129" spans="1:10" ht="14.25" customHeight="1">
      <c r="A1129" s="520" t="s">
        <v>1849</v>
      </c>
      <c r="B1129" s="521" t="s">
        <v>1850</v>
      </c>
      <c r="C1129" s="520" t="s">
        <v>213</v>
      </c>
      <c r="D1129" s="472">
        <v>10.494</v>
      </c>
      <c r="E1129" s="522">
        <v>9.7780000000000005</v>
      </c>
      <c r="F1129" s="523" t="s">
        <v>4166</v>
      </c>
      <c r="G1129" s="524" t="s">
        <v>3663</v>
      </c>
      <c r="H1129" s="525" t="s">
        <v>3666</v>
      </c>
      <c r="I1129" s="474"/>
      <c r="J1129" s="475" t="s">
        <v>5309</v>
      </c>
    </row>
    <row r="1130" spans="1:10" ht="14.25" customHeight="1">
      <c r="A1130" s="520" t="s">
        <v>1851</v>
      </c>
      <c r="B1130" s="521" t="s">
        <v>1852</v>
      </c>
      <c r="C1130" s="520" t="s">
        <v>213</v>
      </c>
      <c r="D1130" s="472">
        <v>7.6319999999999997</v>
      </c>
      <c r="E1130" s="522">
        <v>7.1159999999999997</v>
      </c>
      <c r="F1130" s="523" t="s">
        <v>4166</v>
      </c>
      <c r="G1130" s="524" t="s">
        <v>3663</v>
      </c>
      <c r="H1130" s="525" t="s">
        <v>3666</v>
      </c>
      <c r="I1130" s="474"/>
      <c r="J1130" s="475" t="s">
        <v>5310</v>
      </c>
    </row>
    <row r="1131" spans="1:10" ht="14.25" customHeight="1">
      <c r="A1131" s="520" t="s">
        <v>1853</v>
      </c>
      <c r="B1131" s="521" t="s">
        <v>1854</v>
      </c>
      <c r="C1131" s="520" t="s">
        <v>213</v>
      </c>
      <c r="D1131" s="472">
        <v>10.494</v>
      </c>
      <c r="E1131" s="522">
        <v>9.7780000000000005</v>
      </c>
      <c r="F1131" s="523" t="s">
        <v>4166</v>
      </c>
      <c r="G1131" s="524" t="s">
        <v>3663</v>
      </c>
      <c r="H1131" s="525" t="s">
        <v>3666</v>
      </c>
      <c r="I1131" s="474"/>
      <c r="J1131" s="475" t="s">
        <v>5311</v>
      </c>
    </row>
    <row r="1132" spans="1:10" ht="14.25" customHeight="1">
      <c r="A1132" s="520" t="s">
        <v>1855</v>
      </c>
      <c r="B1132" s="521" t="s">
        <v>1856</v>
      </c>
      <c r="C1132" s="520" t="s">
        <v>213</v>
      </c>
      <c r="D1132" s="472">
        <v>7.6319999999999997</v>
      </c>
      <c r="E1132" s="522">
        <v>7.1159999999999997</v>
      </c>
      <c r="F1132" s="523" t="s">
        <v>4166</v>
      </c>
      <c r="G1132" s="524" t="s">
        <v>3663</v>
      </c>
      <c r="H1132" s="525" t="s">
        <v>3666</v>
      </c>
      <c r="I1132" s="474"/>
      <c r="J1132" s="475" t="s">
        <v>5312</v>
      </c>
    </row>
    <row r="1133" spans="1:10" ht="14.25" customHeight="1">
      <c r="A1133" s="520" t="s">
        <v>1857</v>
      </c>
      <c r="B1133" s="521" t="s">
        <v>1858</v>
      </c>
      <c r="C1133" s="520" t="s">
        <v>213</v>
      </c>
      <c r="D1133" s="472">
        <v>10.494</v>
      </c>
      <c r="E1133" s="522">
        <v>9.7780000000000005</v>
      </c>
      <c r="F1133" s="523" t="s">
        <v>4166</v>
      </c>
      <c r="G1133" s="524" t="s">
        <v>3663</v>
      </c>
      <c r="H1133" s="525" t="s">
        <v>3666</v>
      </c>
      <c r="I1133" s="474"/>
      <c r="J1133" s="475" t="s">
        <v>5313</v>
      </c>
    </row>
    <row r="1134" spans="1:10" ht="14.25" customHeight="1">
      <c r="A1134" s="520" t="s">
        <v>1859</v>
      </c>
      <c r="B1134" s="521" t="s">
        <v>1860</v>
      </c>
      <c r="C1134" s="520" t="s">
        <v>213</v>
      </c>
      <c r="D1134" s="472">
        <v>7.6319999999999997</v>
      </c>
      <c r="E1134" s="522">
        <v>7.1159999999999997</v>
      </c>
      <c r="F1134" s="523" t="s">
        <v>4166</v>
      </c>
      <c r="G1134" s="524" t="s">
        <v>3663</v>
      </c>
      <c r="H1134" s="525" t="s">
        <v>3666</v>
      </c>
      <c r="I1134" s="474"/>
      <c r="J1134" s="475" t="s">
        <v>5314</v>
      </c>
    </row>
    <row r="1135" spans="1:10" ht="14.25" customHeight="1">
      <c r="A1135" s="520" t="s">
        <v>1861</v>
      </c>
      <c r="B1135" s="521" t="s">
        <v>1862</v>
      </c>
      <c r="C1135" s="520" t="s">
        <v>213</v>
      </c>
      <c r="D1135" s="472">
        <v>10.494</v>
      </c>
      <c r="E1135" s="522">
        <v>9.7780000000000005</v>
      </c>
      <c r="F1135" s="523" t="s">
        <v>4166</v>
      </c>
      <c r="G1135" s="524" t="s">
        <v>3663</v>
      </c>
      <c r="H1135" s="525" t="s">
        <v>3666</v>
      </c>
      <c r="I1135" s="474"/>
      <c r="J1135" s="475" t="s">
        <v>5315</v>
      </c>
    </row>
    <row r="1136" spans="1:10" ht="14.25" customHeight="1">
      <c r="A1136" s="520" t="s">
        <v>1863</v>
      </c>
      <c r="B1136" s="521" t="s">
        <v>1864</v>
      </c>
      <c r="C1136" s="520" t="s">
        <v>213</v>
      </c>
      <c r="D1136" s="472">
        <v>7.6319999999999997</v>
      </c>
      <c r="E1136" s="522">
        <v>7.1159999999999997</v>
      </c>
      <c r="F1136" s="523" t="s">
        <v>4166</v>
      </c>
      <c r="G1136" s="524" t="s">
        <v>3663</v>
      </c>
      <c r="H1136" s="525" t="s">
        <v>3666</v>
      </c>
      <c r="I1136" s="474"/>
      <c r="J1136" s="475" t="s">
        <v>5316</v>
      </c>
    </row>
    <row r="1137" spans="1:10" ht="14.25" customHeight="1">
      <c r="A1137" s="520" t="s">
        <v>1865</v>
      </c>
      <c r="B1137" s="521" t="s">
        <v>1866</v>
      </c>
      <c r="C1137" s="520" t="s">
        <v>213</v>
      </c>
      <c r="D1137" s="472">
        <v>10.494</v>
      </c>
      <c r="E1137" s="522">
        <v>9.7780000000000005</v>
      </c>
      <c r="F1137" s="523" t="s">
        <v>4166</v>
      </c>
      <c r="G1137" s="524" t="s">
        <v>3663</v>
      </c>
      <c r="H1137" s="525" t="s">
        <v>3666</v>
      </c>
      <c r="I1137" s="474"/>
      <c r="J1137" s="475" t="s">
        <v>5317</v>
      </c>
    </row>
    <row r="1138" spans="1:10" ht="14.25" customHeight="1">
      <c r="A1138" s="520" t="s">
        <v>1867</v>
      </c>
      <c r="B1138" s="521" t="s">
        <v>1868</v>
      </c>
      <c r="C1138" s="520" t="s">
        <v>213</v>
      </c>
      <c r="D1138" s="472">
        <v>7.6319999999999997</v>
      </c>
      <c r="E1138" s="522">
        <v>7.1159999999999997</v>
      </c>
      <c r="F1138" s="523" t="s">
        <v>4166</v>
      </c>
      <c r="G1138" s="524" t="s">
        <v>3663</v>
      </c>
      <c r="H1138" s="525" t="s">
        <v>3666</v>
      </c>
      <c r="I1138" s="474"/>
      <c r="J1138" s="475" t="s">
        <v>5318</v>
      </c>
    </row>
    <row r="1139" spans="1:10" ht="14.25" customHeight="1">
      <c r="A1139" s="520" t="s">
        <v>1869</v>
      </c>
      <c r="B1139" s="521" t="s">
        <v>1870</v>
      </c>
      <c r="C1139" s="520" t="s">
        <v>213</v>
      </c>
      <c r="D1139" s="472">
        <v>10.494</v>
      </c>
      <c r="E1139" s="522">
        <v>9.7780000000000005</v>
      </c>
      <c r="F1139" s="523" t="s">
        <v>4166</v>
      </c>
      <c r="G1139" s="524" t="s">
        <v>3663</v>
      </c>
      <c r="H1139" s="525" t="s">
        <v>3666</v>
      </c>
      <c r="I1139" s="474"/>
      <c r="J1139" s="475" t="s">
        <v>5319</v>
      </c>
    </row>
    <row r="1140" spans="1:10" ht="14.25" customHeight="1">
      <c r="A1140" s="520" t="s">
        <v>1871</v>
      </c>
      <c r="B1140" s="521" t="s">
        <v>1872</v>
      </c>
      <c r="C1140" s="520" t="s">
        <v>213</v>
      </c>
      <c r="D1140" s="472">
        <v>7.6319999999999997</v>
      </c>
      <c r="E1140" s="522">
        <v>7.1159999999999997</v>
      </c>
      <c r="F1140" s="523" t="s">
        <v>4166</v>
      </c>
      <c r="G1140" s="524" t="s">
        <v>3663</v>
      </c>
      <c r="H1140" s="525" t="s">
        <v>3666</v>
      </c>
      <c r="I1140" s="474"/>
      <c r="J1140" s="475" t="s">
        <v>5320</v>
      </c>
    </row>
    <row r="1141" spans="1:10" ht="14.25" customHeight="1">
      <c r="A1141" s="520" t="s">
        <v>1873</v>
      </c>
      <c r="B1141" s="521" t="s">
        <v>1874</v>
      </c>
      <c r="C1141" s="520" t="s">
        <v>213</v>
      </c>
      <c r="D1141" s="472">
        <v>10.494</v>
      </c>
      <c r="E1141" s="522">
        <v>9.7780000000000005</v>
      </c>
      <c r="F1141" s="523" t="s">
        <v>4166</v>
      </c>
      <c r="G1141" s="524" t="s">
        <v>3663</v>
      </c>
      <c r="H1141" s="525" t="s">
        <v>3666</v>
      </c>
      <c r="I1141" s="474"/>
      <c r="J1141" s="475" t="s">
        <v>5321</v>
      </c>
    </row>
    <row r="1142" spans="1:10" ht="14.25" customHeight="1">
      <c r="A1142" s="520" t="s">
        <v>1875</v>
      </c>
      <c r="B1142" s="521" t="s">
        <v>1876</v>
      </c>
      <c r="C1142" s="520" t="s">
        <v>213</v>
      </c>
      <c r="D1142" s="472">
        <v>7.6319999999999997</v>
      </c>
      <c r="E1142" s="522">
        <v>7.1159999999999997</v>
      </c>
      <c r="F1142" s="523" t="s">
        <v>4166</v>
      </c>
      <c r="G1142" s="524" t="s">
        <v>3663</v>
      </c>
      <c r="H1142" s="525" t="s">
        <v>3666</v>
      </c>
      <c r="I1142" s="474"/>
      <c r="J1142" s="475" t="s">
        <v>5322</v>
      </c>
    </row>
    <row r="1143" spans="1:10" ht="14.25" customHeight="1">
      <c r="A1143" s="520" t="s">
        <v>1877</v>
      </c>
      <c r="B1143" s="521" t="s">
        <v>1878</v>
      </c>
      <c r="C1143" s="520" t="s">
        <v>213</v>
      </c>
      <c r="D1143" s="472">
        <v>10.494</v>
      </c>
      <c r="E1143" s="522">
        <v>9.7780000000000005</v>
      </c>
      <c r="F1143" s="523" t="s">
        <v>4166</v>
      </c>
      <c r="G1143" s="524" t="s">
        <v>3663</v>
      </c>
      <c r="H1143" s="525" t="s">
        <v>3666</v>
      </c>
      <c r="I1143" s="474"/>
      <c r="J1143" s="475" t="s">
        <v>5323</v>
      </c>
    </row>
    <row r="1144" spans="1:10" ht="14.25" customHeight="1">
      <c r="A1144" s="520" t="s">
        <v>1879</v>
      </c>
      <c r="B1144" s="521" t="s">
        <v>1880</v>
      </c>
      <c r="C1144" s="520" t="s">
        <v>213</v>
      </c>
      <c r="D1144" s="472">
        <v>7.6319999999999997</v>
      </c>
      <c r="E1144" s="522">
        <v>7.1159999999999997</v>
      </c>
      <c r="F1144" s="523" t="s">
        <v>4166</v>
      </c>
      <c r="G1144" s="524" t="s">
        <v>3663</v>
      </c>
      <c r="H1144" s="525" t="s">
        <v>3666</v>
      </c>
      <c r="I1144" s="474"/>
      <c r="J1144" s="475" t="s">
        <v>5324</v>
      </c>
    </row>
    <row r="1145" spans="1:10" ht="14.25" customHeight="1">
      <c r="A1145" s="520" t="s">
        <v>1881</v>
      </c>
      <c r="B1145" s="521" t="s">
        <v>1882</v>
      </c>
      <c r="C1145" s="520" t="s">
        <v>213</v>
      </c>
      <c r="D1145" s="472">
        <v>10.494</v>
      </c>
      <c r="E1145" s="522">
        <v>9.7780000000000005</v>
      </c>
      <c r="F1145" s="523" t="s">
        <v>4166</v>
      </c>
      <c r="G1145" s="524" t="s">
        <v>3663</v>
      </c>
      <c r="H1145" s="525" t="s">
        <v>3666</v>
      </c>
      <c r="I1145" s="474"/>
      <c r="J1145" s="475" t="s">
        <v>5325</v>
      </c>
    </row>
    <row r="1146" spans="1:10" ht="14.25" customHeight="1">
      <c r="A1146" s="520" t="s">
        <v>1883</v>
      </c>
      <c r="B1146" s="521" t="s">
        <v>1884</v>
      </c>
      <c r="C1146" s="520" t="s">
        <v>213</v>
      </c>
      <c r="D1146" s="472">
        <v>7.6319999999999997</v>
      </c>
      <c r="E1146" s="522">
        <v>7.1159999999999997</v>
      </c>
      <c r="F1146" s="523" t="s">
        <v>4166</v>
      </c>
      <c r="G1146" s="524" t="s">
        <v>3663</v>
      </c>
      <c r="H1146" s="525" t="s">
        <v>3666</v>
      </c>
      <c r="I1146" s="474"/>
      <c r="J1146" s="475" t="s">
        <v>5326</v>
      </c>
    </row>
    <row r="1147" spans="1:10" ht="14.25" customHeight="1">
      <c r="A1147" s="520" t="s">
        <v>1885</v>
      </c>
      <c r="B1147" s="521" t="s">
        <v>1886</v>
      </c>
      <c r="C1147" s="520" t="s">
        <v>213</v>
      </c>
      <c r="D1147" s="472">
        <v>10.494</v>
      </c>
      <c r="E1147" s="522">
        <v>9.7780000000000005</v>
      </c>
      <c r="F1147" s="523" t="s">
        <v>4166</v>
      </c>
      <c r="G1147" s="524" t="s">
        <v>3663</v>
      </c>
      <c r="H1147" s="525" t="s">
        <v>3666</v>
      </c>
      <c r="I1147" s="474"/>
      <c r="J1147" s="475" t="s">
        <v>5327</v>
      </c>
    </row>
    <row r="1148" spans="1:10" ht="14.25" customHeight="1">
      <c r="A1148" s="520" t="s">
        <v>1887</v>
      </c>
      <c r="B1148" s="521" t="s">
        <v>1888</v>
      </c>
      <c r="C1148" s="520" t="s">
        <v>213</v>
      </c>
      <c r="D1148" s="472">
        <v>7.6319999999999997</v>
      </c>
      <c r="E1148" s="522">
        <v>7.1159999999999997</v>
      </c>
      <c r="F1148" s="523" t="s">
        <v>4166</v>
      </c>
      <c r="G1148" s="524" t="s">
        <v>3663</v>
      </c>
      <c r="H1148" s="525" t="s">
        <v>3666</v>
      </c>
      <c r="I1148" s="474"/>
      <c r="J1148" s="475" t="s">
        <v>5328</v>
      </c>
    </row>
    <row r="1149" spans="1:10" ht="14.25" customHeight="1">
      <c r="A1149" s="520" t="s">
        <v>1889</v>
      </c>
      <c r="B1149" s="521" t="s">
        <v>1890</v>
      </c>
      <c r="C1149" s="520" t="s">
        <v>213</v>
      </c>
      <c r="D1149" s="472">
        <v>10.494</v>
      </c>
      <c r="E1149" s="522">
        <v>9.7780000000000005</v>
      </c>
      <c r="F1149" s="523" t="s">
        <v>4166</v>
      </c>
      <c r="G1149" s="524" t="s">
        <v>3663</v>
      </c>
      <c r="H1149" s="525" t="s">
        <v>3666</v>
      </c>
      <c r="I1149" s="474"/>
      <c r="J1149" s="475" t="s">
        <v>5329</v>
      </c>
    </row>
    <row r="1150" spans="1:10" ht="14.25" customHeight="1">
      <c r="A1150" s="520" t="s">
        <v>1891</v>
      </c>
      <c r="B1150" s="521" t="s">
        <v>1892</v>
      </c>
      <c r="C1150" s="520" t="s">
        <v>213</v>
      </c>
      <c r="D1150" s="472">
        <v>7.6319999999999997</v>
      </c>
      <c r="E1150" s="522">
        <v>7.1159999999999997</v>
      </c>
      <c r="F1150" s="523" t="s">
        <v>4166</v>
      </c>
      <c r="G1150" s="524" t="s">
        <v>3663</v>
      </c>
      <c r="H1150" s="525" t="s">
        <v>3666</v>
      </c>
      <c r="I1150" s="474"/>
      <c r="J1150" s="475" t="s">
        <v>5330</v>
      </c>
    </row>
    <row r="1151" spans="1:10" ht="14.25" customHeight="1">
      <c r="A1151" s="520" t="s">
        <v>1893</v>
      </c>
      <c r="B1151" s="521" t="s">
        <v>1894</v>
      </c>
      <c r="C1151" s="520" t="s">
        <v>213</v>
      </c>
      <c r="D1151" s="472">
        <v>10.494</v>
      </c>
      <c r="E1151" s="522">
        <v>9.7780000000000005</v>
      </c>
      <c r="F1151" s="523" t="s">
        <v>4166</v>
      </c>
      <c r="G1151" s="524" t="s">
        <v>3663</v>
      </c>
      <c r="H1151" s="525" t="s">
        <v>3666</v>
      </c>
      <c r="I1151" s="474"/>
      <c r="J1151" s="475" t="s">
        <v>5331</v>
      </c>
    </row>
    <row r="1152" spans="1:10" ht="14.25" customHeight="1">
      <c r="A1152" s="520" t="s">
        <v>1895</v>
      </c>
      <c r="B1152" s="521" t="s">
        <v>1896</v>
      </c>
      <c r="C1152" s="520" t="s">
        <v>213</v>
      </c>
      <c r="D1152" s="472">
        <v>7.6319999999999997</v>
      </c>
      <c r="E1152" s="522">
        <v>7.1159999999999997</v>
      </c>
      <c r="F1152" s="523" t="s">
        <v>4166</v>
      </c>
      <c r="G1152" s="524" t="s">
        <v>3663</v>
      </c>
      <c r="H1152" s="525" t="s">
        <v>3666</v>
      </c>
      <c r="I1152" s="474"/>
      <c r="J1152" s="475" t="s">
        <v>5332</v>
      </c>
    </row>
    <row r="1153" spans="1:10" ht="14.25" customHeight="1">
      <c r="A1153" s="520" t="s">
        <v>1897</v>
      </c>
      <c r="B1153" s="521" t="s">
        <v>1898</v>
      </c>
      <c r="C1153" s="520" t="s">
        <v>213</v>
      </c>
      <c r="D1153" s="472">
        <v>10.494</v>
      </c>
      <c r="E1153" s="522">
        <v>9.7780000000000005</v>
      </c>
      <c r="F1153" s="523" t="s">
        <v>4166</v>
      </c>
      <c r="G1153" s="524" t="s">
        <v>3663</v>
      </c>
      <c r="H1153" s="525" t="s">
        <v>3666</v>
      </c>
      <c r="I1153" s="474"/>
      <c r="J1153" s="475" t="s">
        <v>5333</v>
      </c>
    </row>
    <row r="1154" spans="1:10" ht="14.25" customHeight="1">
      <c r="A1154" s="520" t="s">
        <v>1899</v>
      </c>
      <c r="B1154" s="521" t="s">
        <v>1900</v>
      </c>
      <c r="C1154" s="520" t="s">
        <v>213</v>
      </c>
      <c r="D1154" s="472">
        <v>7.6319999999999997</v>
      </c>
      <c r="E1154" s="522">
        <v>7.1159999999999997</v>
      </c>
      <c r="F1154" s="523" t="s">
        <v>4166</v>
      </c>
      <c r="G1154" s="524" t="s">
        <v>3663</v>
      </c>
      <c r="H1154" s="525" t="s">
        <v>3666</v>
      </c>
      <c r="I1154" s="474"/>
      <c r="J1154" s="475" t="s">
        <v>5334</v>
      </c>
    </row>
    <row r="1155" spans="1:10" ht="14.25" customHeight="1">
      <c r="A1155" s="520" t="s">
        <v>1901</v>
      </c>
      <c r="B1155" s="521" t="s">
        <v>1902</v>
      </c>
      <c r="C1155" s="520" t="s">
        <v>213</v>
      </c>
      <c r="D1155" s="472">
        <v>10.494</v>
      </c>
      <c r="E1155" s="522">
        <v>9.7780000000000005</v>
      </c>
      <c r="F1155" s="523" t="s">
        <v>4166</v>
      </c>
      <c r="G1155" s="524" t="s">
        <v>3663</v>
      </c>
      <c r="H1155" s="525" t="s">
        <v>3666</v>
      </c>
      <c r="I1155" s="474"/>
      <c r="J1155" s="475" t="s">
        <v>5335</v>
      </c>
    </row>
    <row r="1156" spans="1:10" ht="14.25" customHeight="1">
      <c r="A1156" s="520" t="s">
        <v>1903</v>
      </c>
      <c r="B1156" s="521" t="s">
        <v>1904</v>
      </c>
      <c r="C1156" s="520" t="s">
        <v>213</v>
      </c>
      <c r="D1156" s="472">
        <v>7.6319999999999997</v>
      </c>
      <c r="E1156" s="522">
        <v>7.1159999999999997</v>
      </c>
      <c r="F1156" s="523" t="s">
        <v>4166</v>
      </c>
      <c r="G1156" s="524" t="s">
        <v>3663</v>
      </c>
      <c r="H1156" s="525" t="s">
        <v>3666</v>
      </c>
      <c r="I1156" s="474"/>
      <c r="J1156" s="475" t="s">
        <v>5336</v>
      </c>
    </row>
    <row r="1157" spans="1:10" ht="14.25" customHeight="1">
      <c r="A1157" s="520" t="s">
        <v>1905</v>
      </c>
      <c r="B1157" s="521" t="s">
        <v>1906</v>
      </c>
      <c r="C1157" s="520" t="s">
        <v>213</v>
      </c>
      <c r="D1157" s="472">
        <v>10.494</v>
      </c>
      <c r="E1157" s="522">
        <v>9.7780000000000005</v>
      </c>
      <c r="F1157" s="523" t="s">
        <v>4166</v>
      </c>
      <c r="G1157" s="524" t="s">
        <v>3663</v>
      </c>
      <c r="H1157" s="525" t="s">
        <v>3666</v>
      </c>
      <c r="I1157" s="474"/>
      <c r="J1157" s="475" t="s">
        <v>5337</v>
      </c>
    </row>
    <row r="1158" spans="1:10" ht="14.25" customHeight="1">
      <c r="A1158" s="520" t="s">
        <v>1907</v>
      </c>
      <c r="B1158" s="521" t="s">
        <v>1908</v>
      </c>
      <c r="C1158" s="520" t="s">
        <v>213</v>
      </c>
      <c r="D1158" s="472">
        <v>7.6319999999999997</v>
      </c>
      <c r="E1158" s="522">
        <v>7.1159999999999997</v>
      </c>
      <c r="F1158" s="523" t="s">
        <v>4166</v>
      </c>
      <c r="G1158" s="524" t="s">
        <v>3663</v>
      </c>
      <c r="H1158" s="525" t="s">
        <v>3666</v>
      </c>
      <c r="I1158" s="474"/>
      <c r="J1158" s="475" t="s">
        <v>5338</v>
      </c>
    </row>
    <row r="1159" spans="1:10" ht="14.25" customHeight="1">
      <c r="A1159" s="520" t="s">
        <v>1909</v>
      </c>
      <c r="B1159" s="521" t="s">
        <v>1910</v>
      </c>
      <c r="C1159" s="520" t="s">
        <v>213</v>
      </c>
      <c r="D1159" s="472">
        <v>10.494</v>
      </c>
      <c r="E1159" s="522">
        <v>9.7780000000000005</v>
      </c>
      <c r="F1159" s="523" t="s">
        <v>4166</v>
      </c>
      <c r="G1159" s="524" t="s">
        <v>3663</v>
      </c>
      <c r="H1159" s="525" t="s">
        <v>3666</v>
      </c>
      <c r="I1159" s="474"/>
      <c r="J1159" s="475" t="s">
        <v>5339</v>
      </c>
    </row>
    <row r="1160" spans="1:10" ht="14.25" customHeight="1">
      <c r="A1160" s="520" t="s">
        <v>1911</v>
      </c>
      <c r="B1160" s="521" t="s">
        <v>1912</v>
      </c>
      <c r="C1160" s="520" t="s">
        <v>213</v>
      </c>
      <c r="D1160" s="472">
        <v>7.6319999999999997</v>
      </c>
      <c r="E1160" s="522">
        <v>7.1159999999999997</v>
      </c>
      <c r="F1160" s="523" t="s">
        <v>4166</v>
      </c>
      <c r="G1160" s="524" t="s">
        <v>3663</v>
      </c>
      <c r="H1160" s="525" t="s">
        <v>3666</v>
      </c>
      <c r="I1160" s="474"/>
      <c r="J1160" s="475" t="s">
        <v>5340</v>
      </c>
    </row>
    <row r="1161" spans="1:10" ht="14.25" customHeight="1">
      <c r="A1161" s="520" t="s">
        <v>1913</v>
      </c>
      <c r="B1161" s="521" t="s">
        <v>1914</v>
      </c>
      <c r="C1161" s="520" t="s">
        <v>213</v>
      </c>
      <c r="D1161" s="472">
        <v>10.494</v>
      </c>
      <c r="E1161" s="522">
        <v>9.7780000000000005</v>
      </c>
      <c r="F1161" s="523" t="s">
        <v>4166</v>
      </c>
      <c r="G1161" s="524" t="s">
        <v>3663</v>
      </c>
      <c r="H1161" s="525" t="s">
        <v>3666</v>
      </c>
      <c r="I1161" s="474"/>
      <c r="J1161" s="475" t="s">
        <v>5341</v>
      </c>
    </row>
    <row r="1162" spans="1:10" ht="14.25" customHeight="1">
      <c r="A1162" s="520" t="s">
        <v>1915</v>
      </c>
      <c r="B1162" s="521" t="s">
        <v>1916</v>
      </c>
      <c r="C1162" s="520" t="s">
        <v>213</v>
      </c>
      <c r="D1162" s="472">
        <v>7.6319999999999997</v>
      </c>
      <c r="E1162" s="522">
        <v>7.1159999999999997</v>
      </c>
      <c r="F1162" s="523" t="s">
        <v>4166</v>
      </c>
      <c r="G1162" s="524" t="s">
        <v>3663</v>
      </c>
      <c r="H1162" s="525" t="s">
        <v>3666</v>
      </c>
      <c r="I1162" s="474"/>
      <c r="J1162" s="475" t="s">
        <v>5342</v>
      </c>
    </row>
    <row r="1163" spans="1:10" ht="14.25" customHeight="1">
      <c r="A1163" s="520" t="s">
        <v>1917</v>
      </c>
      <c r="B1163" s="521" t="s">
        <v>1918</v>
      </c>
      <c r="C1163" s="520" t="s">
        <v>213</v>
      </c>
      <c r="D1163" s="472">
        <v>10.494</v>
      </c>
      <c r="E1163" s="522">
        <v>9.7780000000000005</v>
      </c>
      <c r="F1163" s="523" t="s">
        <v>4166</v>
      </c>
      <c r="G1163" s="524" t="s">
        <v>3663</v>
      </c>
      <c r="H1163" s="525" t="s">
        <v>3666</v>
      </c>
      <c r="I1163" s="474"/>
      <c r="J1163" s="475" t="s">
        <v>5343</v>
      </c>
    </row>
    <row r="1164" spans="1:10" ht="14.25" customHeight="1">
      <c r="A1164" s="520" t="s">
        <v>1919</v>
      </c>
      <c r="B1164" s="521" t="s">
        <v>1920</v>
      </c>
      <c r="C1164" s="520" t="s">
        <v>213</v>
      </c>
      <c r="D1164" s="472">
        <v>7.6319999999999997</v>
      </c>
      <c r="E1164" s="522">
        <v>7.1159999999999997</v>
      </c>
      <c r="F1164" s="523" t="s">
        <v>4166</v>
      </c>
      <c r="G1164" s="524" t="s">
        <v>3663</v>
      </c>
      <c r="H1164" s="525" t="s">
        <v>3666</v>
      </c>
      <c r="I1164" s="474"/>
      <c r="J1164" s="475" t="s">
        <v>5344</v>
      </c>
    </row>
    <row r="1165" spans="1:10" ht="14.25" customHeight="1">
      <c r="A1165" s="520" t="s">
        <v>3359</v>
      </c>
      <c r="B1165" s="521" t="s">
        <v>3360</v>
      </c>
      <c r="C1165" s="520" t="s">
        <v>213</v>
      </c>
      <c r="D1165" s="472">
        <v>0</v>
      </c>
      <c r="E1165" s="522">
        <v>0</v>
      </c>
      <c r="F1165" s="523" t="s">
        <v>4166</v>
      </c>
      <c r="G1165" s="524" t="s">
        <v>3663</v>
      </c>
      <c r="H1165" s="525" t="s">
        <v>3666</v>
      </c>
      <c r="I1165" s="474"/>
      <c r="J1165" s="475" t="s">
        <v>5345</v>
      </c>
    </row>
    <row r="1166" spans="1:10" ht="14.25" customHeight="1">
      <c r="A1166" s="520" t="s">
        <v>3361</v>
      </c>
      <c r="B1166" s="521" t="s">
        <v>3362</v>
      </c>
      <c r="C1166" s="520" t="s">
        <v>213</v>
      </c>
      <c r="D1166" s="472">
        <v>0</v>
      </c>
      <c r="E1166" s="522">
        <v>0</v>
      </c>
      <c r="F1166" s="523" t="s">
        <v>4166</v>
      </c>
      <c r="G1166" s="524" t="s">
        <v>3663</v>
      </c>
      <c r="H1166" s="525" t="s">
        <v>3666</v>
      </c>
      <c r="I1166" s="474"/>
      <c r="J1166" s="475" t="s">
        <v>5346</v>
      </c>
    </row>
    <row r="1167" spans="1:10" ht="14.25" customHeight="1">
      <c r="A1167" s="520" t="s">
        <v>1921</v>
      </c>
      <c r="B1167" s="521" t="s">
        <v>1922</v>
      </c>
      <c r="C1167" s="520" t="s">
        <v>213</v>
      </c>
      <c r="D1167" s="472">
        <v>2.762</v>
      </c>
      <c r="E1167" s="522">
        <v>2.5760000000000001</v>
      </c>
      <c r="F1167" s="523" t="s">
        <v>4166</v>
      </c>
      <c r="G1167" s="524" t="s">
        <v>3663</v>
      </c>
      <c r="H1167" s="525" t="s">
        <v>3666</v>
      </c>
      <c r="I1167" s="474"/>
      <c r="J1167" s="475" t="s">
        <v>5347</v>
      </c>
    </row>
    <row r="1168" spans="1:10" ht="14.25" customHeight="1">
      <c r="A1168" s="520" t="s">
        <v>1923</v>
      </c>
      <c r="B1168" s="521" t="s">
        <v>1924</v>
      </c>
      <c r="C1168" s="520" t="s">
        <v>213</v>
      </c>
      <c r="D1168" s="472">
        <v>2.762</v>
      </c>
      <c r="E1168" s="522">
        <v>2.5760000000000001</v>
      </c>
      <c r="F1168" s="523" t="s">
        <v>4166</v>
      </c>
      <c r="G1168" s="524" t="s">
        <v>3663</v>
      </c>
      <c r="H1168" s="525" t="s">
        <v>3666</v>
      </c>
      <c r="I1168" s="474"/>
      <c r="J1168" s="475" t="s">
        <v>5348</v>
      </c>
    </row>
    <row r="1169" spans="1:10" ht="14.25" customHeight="1">
      <c r="A1169" s="520" t="s">
        <v>3363</v>
      </c>
      <c r="B1169" s="521" t="s">
        <v>3364</v>
      </c>
      <c r="C1169" s="520" t="s">
        <v>213</v>
      </c>
      <c r="D1169" s="472">
        <v>0</v>
      </c>
      <c r="E1169" s="522">
        <v>0</v>
      </c>
      <c r="F1169" s="523" t="s">
        <v>4166</v>
      </c>
      <c r="G1169" s="524" t="s">
        <v>3663</v>
      </c>
      <c r="H1169" s="525" t="s">
        <v>3666</v>
      </c>
      <c r="I1169" s="474"/>
      <c r="J1169" s="475" t="s">
        <v>5349</v>
      </c>
    </row>
    <row r="1170" spans="1:10" ht="14.25" customHeight="1">
      <c r="A1170" s="520" t="s">
        <v>3365</v>
      </c>
      <c r="B1170" s="521" t="s">
        <v>3366</v>
      </c>
      <c r="C1170" s="520" t="s">
        <v>213</v>
      </c>
      <c r="D1170" s="472">
        <v>0</v>
      </c>
      <c r="E1170" s="522">
        <v>0</v>
      </c>
      <c r="F1170" s="523" t="s">
        <v>4166</v>
      </c>
      <c r="G1170" s="524" t="s">
        <v>3663</v>
      </c>
      <c r="H1170" s="525" t="s">
        <v>3666</v>
      </c>
      <c r="I1170" s="474"/>
      <c r="J1170" s="475" t="s">
        <v>5350</v>
      </c>
    </row>
    <row r="1171" spans="1:10" ht="14.25" customHeight="1">
      <c r="A1171" s="520" t="s">
        <v>1925</v>
      </c>
      <c r="B1171" s="521" t="s">
        <v>1926</v>
      </c>
      <c r="C1171" s="520" t="s">
        <v>213</v>
      </c>
      <c r="D1171" s="472">
        <v>1.669</v>
      </c>
      <c r="E1171" s="522">
        <v>1.5529999999999999</v>
      </c>
      <c r="F1171" s="523">
        <v>6</v>
      </c>
      <c r="G1171" s="524" t="s">
        <v>3663</v>
      </c>
      <c r="H1171" s="525" t="s">
        <v>3666</v>
      </c>
      <c r="I1171" s="474"/>
      <c r="J1171" s="475" t="s">
        <v>5351</v>
      </c>
    </row>
    <row r="1172" spans="1:10" ht="14.25" customHeight="1">
      <c r="A1172" s="520" t="s">
        <v>1927</v>
      </c>
      <c r="B1172" s="521" t="s">
        <v>3922</v>
      </c>
      <c r="C1172" s="520" t="s">
        <v>213</v>
      </c>
      <c r="D1172" s="472">
        <v>2.8170000000000002</v>
      </c>
      <c r="E1172" s="522">
        <v>3.1469999999999998</v>
      </c>
      <c r="F1172" s="523" t="s">
        <v>4166</v>
      </c>
      <c r="G1172" s="524" t="s">
        <v>3663</v>
      </c>
      <c r="H1172" s="525" t="s">
        <v>3666</v>
      </c>
      <c r="I1172" s="474"/>
      <c r="J1172" s="475" t="s">
        <v>5352</v>
      </c>
    </row>
    <row r="1173" spans="1:10" ht="14.25" customHeight="1">
      <c r="A1173" s="520" t="s">
        <v>1928</v>
      </c>
      <c r="B1173" s="521" t="s">
        <v>1929</v>
      </c>
      <c r="C1173" s="520" t="s">
        <v>213</v>
      </c>
      <c r="D1173" s="472">
        <v>5.077</v>
      </c>
      <c r="E1173" s="522">
        <v>5.2560000000000002</v>
      </c>
      <c r="F1173" s="523" t="s">
        <v>4166</v>
      </c>
      <c r="G1173" s="524" t="s">
        <v>3663</v>
      </c>
      <c r="H1173" s="525" t="s">
        <v>3666</v>
      </c>
      <c r="I1173" s="474"/>
      <c r="J1173" s="475" t="s">
        <v>5353</v>
      </c>
    </row>
    <row r="1174" spans="1:10" ht="14.25" customHeight="1">
      <c r="A1174" s="520" t="s">
        <v>3923</v>
      </c>
      <c r="B1174" s="539" t="s">
        <v>3924</v>
      </c>
      <c r="C1174" s="520" t="s">
        <v>213</v>
      </c>
      <c r="D1174" s="472">
        <v>1.669</v>
      </c>
      <c r="E1174" s="522">
        <v>1.5529999999999999</v>
      </c>
      <c r="F1174" s="523">
        <v>6.4</v>
      </c>
      <c r="G1174" s="524" t="s">
        <v>3663</v>
      </c>
      <c r="H1174" s="525" t="s">
        <v>3666</v>
      </c>
      <c r="I1174" s="474"/>
      <c r="J1174" s="475" t="s">
        <v>5354</v>
      </c>
    </row>
    <row r="1175" spans="1:10" ht="14.25" customHeight="1">
      <c r="A1175" s="520" t="s">
        <v>3925</v>
      </c>
      <c r="B1175" s="539" t="s">
        <v>3926</v>
      </c>
      <c r="C1175" s="520" t="s">
        <v>213</v>
      </c>
      <c r="D1175" s="472">
        <v>1.669</v>
      </c>
      <c r="E1175" s="522">
        <v>1.5529999999999999</v>
      </c>
      <c r="F1175" s="523">
        <v>6.4</v>
      </c>
      <c r="G1175" s="524" t="s">
        <v>3663</v>
      </c>
      <c r="H1175" s="525" t="s">
        <v>3666</v>
      </c>
      <c r="I1175" s="474"/>
      <c r="J1175" s="475" t="s">
        <v>5355</v>
      </c>
    </row>
    <row r="1176" spans="1:10" ht="14.25" customHeight="1">
      <c r="A1176" s="520" t="s">
        <v>3927</v>
      </c>
      <c r="B1176" s="539" t="s">
        <v>3928</v>
      </c>
      <c r="C1176" s="520" t="s">
        <v>213</v>
      </c>
      <c r="D1176" s="472">
        <v>1.669</v>
      </c>
      <c r="E1176" s="522">
        <v>1.5529999999999999</v>
      </c>
      <c r="F1176" s="523">
        <v>6.4</v>
      </c>
      <c r="G1176" s="524" t="s">
        <v>3663</v>
      </c>
      <c r="H1176" s="525" t="s">
        <v>3666</v>
      </c>
      <c r="I1176" s="474"/>
      <c r="J1176" s="475" t="s">
        <v>5356</v>
      </c>
    </row>
    <row r="1177" spans="1:10" ht="14.25" customHeight="1">
      <c r="A1177" s="520" t="s">
        <v>3929</v>
      </c>
      <c r="B1177" s="539" t="s">
        <v>3930</v>
      </c>
      <c r="C1177" s="520" t="s">
        <v>213</v>
      </c>
      <c r="D1177" s="472">
        <v>1.669</v>
      </c>
      <c r="E1177" s="522">
        <v>1.5529999999999999</v>
      </c>
      <c r="F1177" s="523">
        <v>6.4</v>
      </c>
      <c r="G1177" s="524" t="s">
        <v>3663</v>
      </c>
      <c r="H1177" s="525" t="s">
        <v>3666</v>
      </c>
      <c r="I1177" s="474"/>
      <c r="J1177" s="475" t="s">
        <v>5357</v>
      </c>
    </row>
    <row r="1178" spans="1:10" ht="14.25" customHeight="1">
      <c r="A1178" s="520" t="s">
        <v>1930</v>
      </c>
      <c r="B1178" s="521" t="s">
        <v>1931</v>
      </c>
      <c r="C1178" s="520" t="s">
        <v>213</v>
      </c>
      <c r="D1178" s="472">
        <v>1.669</v>
      </c>
      <c r="E1178" s="522">
        <v>1.5529999999999999</v>
      </c>
      <c r="F1178" s="523">
        <v>6.4</v>
      </c>
      <c r="G1178" s="524" t="s">
        <v>3663</v>
      </c>
      <c r="H1178" s="525" t="s">
        <v>3666</v>
      </c>
      <c r="I1178" s="474"/>
      <c r="J1178" s="475" t="s">
        <v>5358</v>
      </c>
    </row>
    <row r="1179" spans="1:10" ht="14.25" customHeight="1">
      <c r="A1179" s="520" t="s">
        <v>1932</v>
      </c>
      <c r="B1179" s="521" t="s">
        <v>3931</v>
      </c>
      <c r="C1179" s="520" t="s">
        <v>213</v>
      </c>
      <c r="D1179" s="472">
        <v>2.8170000000000002</v>
      </c>
      <c r="E1179" s="522">
        <v>3.1469999999999998</v>
      </c>
      <c r="F1179" s="523">
        <v>7.36</v>
      </c>
      <c r="G1179" s="524" t="s">
        <v>3663</v>
      </c>
      <c r="H1179" s="525" t="s">
        <v>3666</v>
      </c>
      <c r="I1179" s="474"/>
      <c r="J1179" s="475" t="s">
        <v>5359</v>
      </c>
    </row>
    <row r="1180" spans="1:10" ht="14.25" customHeight="1">
      <c r="A1180" s="520" t="s">
        <v>1933</v>
      </c>
      <c r="B1180" s="521" t="s">
        <v>1934</v>
      </c>
      <c r="C1180" s="520" t="s">
        <v>213</v>
      </c>
      <c r="D1180" s="472">
        <v>5.077</v>
      </c>
      <c r="E1180" s="522">
        <v>5.2560000000000002</v>
      </c>
      <c r="F1180" s="523">
        <v>7.36</v>
      </c>
      <c r="G1180" s="524" t="s">
        <v>3663</v>
      </c>
      <c r="H1180" s="525" t="s">
        <v>3666</v>
      </c>
      <c r="I1180" s="474"/>
      <c r="J1180" s="475" t="s">
        <v>5360</v>
      </c>
    </row>
    <row r="1181" spans="1:10" ht="14.25" customHeight="1">
      <c r="A1181" s="539" t="s">
        <v>3932</v>
      </c>
      <c r="B1181" s="539" t="s">
        <v>3933</v>
      </c>
      <c r="C1181" s="520" t="s">
        <v>213</v>
      </c>
      <c r="D1181" s="472">
        <v>1.669</v>
      </c>
      <c r="E1181" s="522">
        <v>1.5529999999999999</v>
      </c>
      <c r="F1181" s="523">
        <v>6.8</v>
      </c>
      <c r="G1181" s="524" t="s">
        <v>3663</v>
      </c>
      <c r="H1181" s="525" t="s">
        <v>3666</v>
      </c>
      <c r="I1181" s="474"/>
      <c r="J1181" s="475" t="s">
        <v>5361</v>
      </c>
    </row>
    <row r="1182" spans="1:10" ht="14.25" customHeight="1">
      <c r="A1182" s="539" t="s">
        <v>3934</v>
      </c>
      <c r="B1182" s="539" t="s">
        <v>3935</v>
      </c>
      <c r="C1182" s="520" t="s">
        <v>213</v>
      </c>
      <c r="D1182" s="472">
        <v>1.669</v>
      </c>
      <c r="E1182" s="522">
        <v>1.5529999999999999</v>
      </c>
      <c r="F1182" s="523">
        <v>6.8</v>
      </c>
      <c r="G1182" s="524" t="s">
        <v>3663</v>
      </c>
      <c r="H1182" s="525" t="s">
        <v>3666</v>
      </c>
      <c r="I1182" s="474"/>
      <c r="J1182" s="475" t="s">
        <v>5362</v>
      </c>
    </row>
    <row r="1183" spans="1:10" ht="14.25" customHeight="1">
      <c r="A1183" s="539" t="s">
        <v>3936</v>
      </c>
      <c r="B1183" s="539" t="s">
        <v>3937</v>
      </c>
      <c r="C1183" s="520" t="s">
        <v>213</v>
      </c>
      <c r="D1183" s="472">
        <v>1.669</v>
      </c>
      <c r="E1183" s="522">
        <v>1.5529999999999999</v>
      </c>
      <c r="F1183" s="523">
        <v>6.8</v>
      </c>
      <c r="G1183" s="524" t="s">
        <v>3663</v>
      </c>
      <c r="H1183" s="525" t="s">
        <v>3666</v>
      </c>
      <c r="I1183" s="474"/>
      <c r="J1183" s="475" t="s">
        <v>5363</v>
      </c>
    </row>
    <row r="1184" spans="1:10" ht="14.25" customHeight="1">
      <c r="A1184" s="539" t="s">
        <v>3938</v>
      </c>
      <c r="B1184" s="539" t="s">
        <v>3939</v>
      </c>
      <c r="C1184" s="520" t="s">
        <v>213</v>
      </c>
      <c r="D1184" s="472">
        <v>1.669</v>
      </c>
      <c r="E1184" s="522">
        <v>1.5529999999999999</v>
      </c>
      <c r="F1184" s="523">
        <v>6.8</v>
      </c>
      <c r="G1184" s="524" t="s">
        <v>3663</v>
      </c>
      <c r="H1184" s="525" t="s">
        <v>3666</v>
      </c>
      <c r="I1184" s="474"/>
      <c r="J1184" s="475" t="s">
        <v>5364</v>
      </c>
    </row>
    <row r="1185" spans="1:10" ht="14.25" customHeight="1">
      <c r="A1185" s="520" t="s">
        <v>1935</v>
      </c>
      <c r="B1185" s="521" t="s">
        <v>1936</v>
      </c>
      <c r="C1185" s="520" t="s">
        <v>213</v>
      </c>
      <c r="D1185" s="472">
        <v>1.669</v>
      </c>
      <c r="E1185" s="522">
        <v>1.5529999999999999</v>
      </c>
      <c r="F1185" s="523">
        <v>6.8</v>
      </c>
      <c r="G1185" s="524" t="s">
        <v>3663</v>
      </c>
      <c r="H1185" s="525" t="s">
        <v>3666</v>
      </c>
      <c r="I1185" s="474"/>
      <c r="J1185" s="475" t="s">
        <v>5365</v>
      </c>
    </row>
    <row r="1186" spans="1:10" ht="14.25" customHeight="1">
      <c r="A1186" s="539" t="s">
        <v>3940</v>
      </c>
      <c r="B1186" s="539" t="s">
        <v>3941</v>
      </c>
      <c r="C1186" s="520" t="s">
        <v>213</v>
      </c>
      <c r="D1186" s="472">
        <v>1.669</v>
      </c>
      <c r="E1186" s="522">
        <v>1.5529999999999999</v>
      </c>
      <c r="F1186" s="523">
        <v>6.8</v>
      </c>
      <c r="G1186" s="524" t="s">
        <v>3663</v>
      </c>
      <c r="H1186" s="525" t="s">
        <v>3666</v>
      </c>
      <c r="I1186" s="474"/>
      <c r="J1186" s="475" t="s">
        <v>5366</v>
      </c>
    </row>
    <row r="1187" spans="1:10" ht="14.25" customHeight="1">
      <c r="A1187" s="520" t="s">
        <v>1937</v>
      </c>
      <c r="B1187" s="521" t="s">
        <v>3942</v>
      </c>
      <c r="C1187" s="520" t="s">
        <v>213</v>
      </c>
      <c r="D1187" s="472">
        <v>2.8170000000000002</v>
      </c>
      <c r="E1187" s="522">
        <v>3.14</v>
      </c>
      <c r="F1187" s="523">
        <v>7.8</v>
      </c>
      <c r="G1187" s="524" t="s">
        <v>3663</v>
      </c>
      <c r="H1187" s="525" t="s">
        <v>3666</v>
      </c>
      <c r="I1187" s="474"/>
      <c r="J1187" s="475" t="s">
        <v>5367</v>
      </c>
    </row>
    <row r="1188" spans="1:10" ht="14.25" customHeight="1">
      <c r="A1188" s="520" t="s">
        <v>1938</v>
      </c>
      <c r="B1188" s="521" t="s">
        <v>1939</v>
      </c>
      <c r="C1188" s="520" t="s">
        <v>213</v>
      </c>
      <c r="D1188" s="472">
        <v>5.077</v>
      </c>
      <c r="E1188" s="522">
        <v>5.2560000000000002</v>
      </c>
      <c r="F1188" s="523" t="s">
        <v>4166</v>
      </c>
      <c r="G1188" s="524" t="s">
        <v>3663</v>
      </c>
      <c r="H1188" s="525" t="s">
        <v>3666</v>
      </c>
      <c r="I1188" s="474"/>
      <c r="J1188" s="475" t="s">
        <v>5368</v>
      </c>
    </row>
    <row r="1189" spans="1:10" ht="14.25" customHeight="1">
      <c r="A1189" s="539" t="s">
        <v>3943</v>
      </c>
      <c r="B1189" s="539" t="s">
        <v>3944</v>
      </c>
      <c r="C1189" s="520" t="s">
        <v>213</v>
      </c>
      <c r="D1189" s="472">
        <v>1.669</v>
      </c>
      <c r="E1189" s="522">
        <v>1.5529999999999999</v>
      </c>
      <c r="F1189" s="523">
        <v>7.4</v>
      </c>
      <c r="G1189" s="524" t="s">
        <v>3663</v>
      </c>
      <c r="H1189" s="525" t="s">
        <v>3666</v>
      </c>
      <c r="I1189" s="474"/>
      <c r="J1189" s="475" t="s">
        <v>5369</v>
      </c>
    </row>
    <row r="1190" spans="1:10" ht="14.25" customHeight="1">
      <c r="A1190" s="539" t="s">
        <v>3945</v>
      </c>
      <c r="B1190" s="539" t="s">
        <v>3946</v>
      </c>
      <c r="C1190" s="520" t="s">
        <v>213</v>
      </c>
      <c r="D1190" s="472">
        <v>1.669</v>
      </c>
      <c r="E1190" s="522">
        <v>1.5529999999999999</v>
      </c>
      <c r="F1190" s="523">
        <v>7.4</v>
      </c>
      <c r="G1190" s="524" t="s">
        <v>3663</v>
      </c>
      <c r="H1190" s="525" t="s">
        <v>3666</v>
      </c>
      <c r="I1190" s="474"/>
      <c r="J1190" s="475" t="s">
        <v>5370</v>
      </c>
    </row>
    <row r="1191" spans="1:10" ht="14.25" customHeight="1">
      <c r="A1191" s="539" t="s">
        <v>3947</v>
      </c>
      <c r="B1191" s="539" t="s">
        <v>3948</v>
      </c>
      <c r="C1191" s="520" t="s">
        <v>213</v>
      </c>
      <c r="D1191" s="472">
        <v>1.669</v>
      </c>
      <c r="E1191" s="522">
        <v>1.5529999999999999</v>
      </c>
      <c r="F1191" s="523">
        <v>7.4</v>
      </c>
      <c r="G1191" s="524" t="s">
        <v>3663</v>
      </c>
      <c r="H1191" s="525" t="s">
        <v>3666</v>
      </c>
      <c r="I1191" s="474"/>
      <c r="J1191" s="475" t="s">
        <v>5371</v>
      </c>
    </row>
    <row r="1192" spans="1:10" ht="14.25" customHeight="1">
      <c r="A1192" s="539" t="s">
        <v>3949</v>
      </c>
      <c r="B1192" s="539" t="s">
        <v>3950</v>
      </c>
      <c r="C1192" s="520" t="s">
        <v>213</v>
      </c>
      <c r="D1192" s="472">
        <v>1.669</v>
      </c>
      <c r="E1192" s="522">
        <v>1.5529999999999999</v>
      </c>
      <c r="F1192" s="523">
        <v>7.4</v>
      </c>
      <c r="G1192" s="524" t="s">
        <v>3663</v>
      </c>
      <c r="H1192" s="525" t="s">
        <v>3666</v>
      </c>
      <c r="I1192" s="474"/>
      <c r="J1192" s="475" t="s">
        <v>5372</v>
      </c>
    </row>
    <row r="1193" spans="1:10" ht="14.25" customHeight="1">
      <c r="A1193" s="520" t="s">
        <v>1940</v>
      </c>
      <c r="B1193" s="521" t="s">
        <v>1941</v>
      </c>
      <c r="C1193" s="520" t="s">
        <v>213</v>
      </c>
      <c r="D1193" s="472">
        <v>1.669</v>
      </c>
      <c r="E1193" s="522">
        <v>1.5529999999999999</v>
      </c>
      <c r="F1193" s="523">
        <v>7.4</v>
      </c>
      <c r="G1193" s="524" t="s">
        <v>3663</v>
      </c>
      <c r="H1193" s="525" t="s">
        <v>3666</v>
      </c>
      <c r="I1193" s="474"/>
      <c r="J1193" s="475" t="s">
        <v>5373</v>
      </c>
    </row>
    <row r="1194" spans="1:10" ht="14.25" customHeight="1">
      <c r="A1194" s="520" t="s">
        <v>1942</v>
      </c>
      <c r="B1194" s="521" t="s">
        <v>3951</v>
      </c>
      <c r="C1194" s="520" t="s">
        <v>213</v>
      </c>
      <c r="D1194" s="472">
        <v>2.8170000000000002</v>
      </c>
      <c r="E1194" s="522">
        <v>3.1469999999999998</v>
      </c>
      <c r="F1194" s="523">
        <v>8.4</v>
      </c>
      <c r="G1194" s="524" t="s">
        <v>3663</v>
      </c>
      <c r="H1194" s="525" t="s">
        <v>3666</v>
      </c>
      <c r="I1194" s="474"/>
      <c r="J1194" s="475" t="s">
        <v>5374</v>
      </c>
    </row>
    <row r="1195" spans="1:10" ht="14.25" customHeight="1">
      <c r="A1195" s="520" t="s">
        <v>1943</v>
      </c>
      <c r="B1195" s="521" t="s">
        <v>1944</v>
      </c>
      <c r="C1195" s="520" t="s">
        <v>213</v>
      </c>
      <c r="D1195" s="472">
        <v>5.077</v>
      </c>
      <c r="E1195" s="522">
        <v>5.2560000000000002</v>
      </c>
      <c r="F1195" s="523">
        <v>8.5</v>
      </c>
      <c r="G1195" s="524" t="s">
        <v>3663</v>
      </c>
      <c r="H1195" s="525" t="s">
        <v>3666</v>
      </c>
      <c r="I1195" s="474"/>
      <c r="J1195" s="475" t="s">
        <v>5375</v>
      </c>
    </row>
    <row r="1196" spans="1:10" ht="14.25" customHeight="1">
      <c r="A1196" s="520" t="s">
        <v>1945</v>
      </c>
      <c r="B1196" s="521" t="s">
        <v>1946</v>
      </c>
      <c r="C1196" s="520" t="s">
        <v>213</v>
      </c>
      <c r="D1196" s="472">
        <v>2.226</v>
      </c>
      <c r="E1196" s="522">
        <v>2.0750000000000002</v>
      </c>
      <c r="F1196" s="523" t="s">
        <v>4166</v>
      </c>
      <c r="G1196" s="524" t="s">
        <v>3663</v>
      </c>
      <c r="H1196" s="525" t="s">
        <v>3666</v>
      </c>
      <c r="I1196" s="474"/>
      <c r="J1196" s="475" t="s">
        <v>5376</v>
      </c>
    </row>
    <row r="1197" spans="1:10" ht="14.25" customHeight="1">
      <c r="A1197" s="520" t="s">
        <v>1947</v>
      </c>
      <c r="B1197" s="521" t="s">
        <v>1948</v>
      </c>
      <c r="C1197" s="520" t="s">
        <v>213</v>
      </c>
      <c r="D1197" s="472">
        <v>2.226</v>
      </c>
      <c r="E1197" s="522">
        <v>2.0750000000000002</v>
      </c>
      <c r="F1197" s="523" t="s">
        <v>4166</v>
      </c>
      <c r="G1197" s="524" t="s">
        <v>3663</v>
      </c>
      <c r="H1197" s="525" t="s">
        <v>3666</v>
      </c>
      <c r="I1197" s="474"/>
      <c r="J1197" s="475" t="s">
        <v>5377</v>
      </c>
    </row>
    <row r="1198" spans="1:10" ht="14.25" customHeight="1">
      <c r="A1198" s="520" t="s">
        <v>1949</v>
      </c>
      <c r="B1198" s="521" t="s">
        <v>1950</v>
      </c>
      <c r="C1198" s="520" t="s">
        <v>213</v>
      </c>
      <c r="D1198" s="472">
        <v>9.3930000000000007</v>
      </c>
      <c r="E1198" s="522">
        <v>8.7539999999999996</v>
      </c>
      <c r="F1198" s="523" t="s">
        <v>4166</v>
      </c>
      <c r="G1198" s="524" t="s">
        <v>3663</v>
      </c>
      <c r="H1198" s="525" t="s">
        <v>3666</v>
      </c>
      <c r="I1198" s="474"/>
      <c r="J1198" s="475" t="s">
        <v>5378</v>
      </c>
    </row>
    <row r="1199" spans="1:10" ht="14.25" customHeight="1">
      <c r="A1199" s="520" t="s">
        <v>1951</v>
      </c>
      <c r="B1199" s="521" t="s">
        <v>1952</v>
      </c>
      <c r="C1199" s="520" t="s">
        <v>213</v>
      </c>
      <c r="D1199" s="472">
        <v>9.3930000000000007</v>
      </c>
      <c r="E1199" s="522">
        <v>8.7539999999999996</v>
      </c>
      <c r="F1199" s="523" t="s">
        <v>4166</v>
      </c>
      <c r="G1199" s="524" t="s">
        <v>3663</v>
      </c>
      <c r="H1199" s="525" t="s">
        <v>3666</v>
      </c>
      <c r="I1199" s="474"/>
      <c r="J1199" s="475" t="s">
        <v>5379</v>
      </c>
    </row>
    <row r="1200" spans="1:10" ht="14.25" customHeight="1">
      <c r="A1200" s="520" t="s">
        <v>1953</v>
      </c>
      <c r="B1200" s="521" t="s">
        <v>1954</v>
      </c>
      <c r="C1200" s="520" t="s">
        <v>213</v>
      </c>
      <c r="D1200" s="472">
        <v>9.3930000000000007</v>
      </c>
      <c r="E1200" s="522">
        <v>8.7539999999999996</v>
      </c>
      <c r="F1200" s="523" t="s">
        <v>4166</v>
      </c>
      <c r="G1200" s="524" t="s">
        <v>3663</v>
      </c>
      <c r="H1200" s="525" t="s">
        <v>3666</v>
      </c>
      <c r="I1200" s="474"/>
      <c r="J1200" s="475" t="s">
        <v>5380</v>
      </c>
    </row>
    <row r="1201" spans="1:10" ht="14.25" customHeight="1">
      <c r="A1201" s="520" t="s">
        <v>1955</v>
      </c>
      <c r="B1201" s="521" t="s">
        <v>1956</v>
      </c>
      <c r="C1201" s="520" t="s">
        <v>213</v>
      </c>
      <c r="D1201" s="472">
        <v>12.038</v>
      </c>
      <c r="E1201" s="522">
        <v>11.221</v>
      </c>
      <c r="F1201" s="523" t="s">
        <v>4166</v>
      </c>
      <c r="G1201" s="524" t="s">
        <v>3663</v>
      </c>
      <c r="H1201" s="525" t="s">
        <v>3666</v>
      </c>
      <c r="I1201" s="474"/>
      <c r="J1201" s="475" t="s">
        <v>5381</v>
      </c>
    </row>
    <row r="1202" spans="1:10" ht="14.25" customHeight="1">
      <c r="A1202" s="520" t="s">
        <v>1957</v>
      </c>
      <c r="B1202" s="521" t="s">
        <v>1958</v>
      </c>
      <c r="C1202" s="520" t="s">
        <v>213</v>
      </c>
      <c r="D1202" s="472">
        <v>12.038</v>
      </c>
      <c r="E1202" s="522">
        <v>11.221</v>
      </c>
      <c r="F1202" s="523" t="s">
        <v>4166</v>
      </c>
      <c r="G1202" s="524" t="s">
        <v>3663</v>
      </c>
      <c r="H1202" s="525" t="s">
        <v>3666</v>
      </c>
      <c r="I1202" s="474"/>
      <c r="J1202" s="475" t="s">
        <v>5382</v>
      </c>
    </row>
    <row r="1203" spans="1:10" ht="14.25" customHeight="1">
      <c r="A1203" s="520" t="s">
        <v>1959</v>
      </c>
      <c r="B1203" s="521" t="s">
        <v>1960</v>
      </c>
      <c r="C1203" s="520" t="s">
        <v>213</v>
      </c>
      <c r="D1203" s="472">
        <v>12.038</v>
      </c>
      <c r="E1203" s="522">
        <v>11.221</v>
      </c>
      <c r="F1203" s="523" t="s">
        <v>4166</v>
      </c>
      <c r="G1203" s="524" t="s">
        <v>3663</v>
      </c>
      <c r="H1203" s="525" t="s">
        <v>3666</v>
      </c>
      <c r="I1203" s="474"/>
      <c r="J1203" s="475" t="s">
        <v>5383</v>
      </c>
    </row>
    <row r="1204" spans="1:10" ht="14.25" customHeight="1">
      <c r="A1204" s="520" t="s">
        <v>1961</v>
      </c>
      <c r="B1204" s="521" t="s">
        <v>1962</v>
      </c>
      <c r="C1204" s="520" t="s">
        <v>213</v>
      </c>
      <c r="D1204" s="472">
        <v>5.0419999999999998</v>
      </c>
      <c r="E1204" s="522">
        <v>4.8360000000000003</v>
      </c>
      <c r="F1204" s="523">
        <v>10.8</v>
      </c>
      <c r="G1204" s="524" t="s">
        <v>3663</v>
      </c>
      <c r="H1204" s="525" t="s">
        <v>3666</v>
      </c>
      <c r="I1204" s="474"/>
      <c r="J1204" s="475" t="s">
        <v>5384</v>
      </c>
    </row>
    <row r="1205" spans="1:10" ht="14.25" customHeight="1">
      <c r="A1205" s="520" t="s">
        <v>1963</v>
      </c>
      <c r="B1205" s="521" t="s">
        <v>1964</v>
      </c>
      <c r="C1205" s="520" t="s">
        <v>213</v>
      </c>
      <c r="D1205" s="472">
        <v>1.28</v>
      </c>
      <c r="E1205" s="522">
        <v>1.1930000000000001</v>
      </c>
      <c r="F1205" s="523" t="s">
        <v>4166</v>
      </c>
      <c r="G1205" s="524" t="s">
        <v>3663</v>
      </c>
      <c r="H1205" s="525" t="s">
        <v>3666</v>
      </c>
      <c r="I1205" s="474"/>
      <c r="J1205" s="475" t="s">
        <v>5385</v>
      </c>
    </row>
    <row r="1206" spans="1:10" ht="14.25" customHeight="1">
      <c r="A1206" s="520" t="s">
        <v>1965</v>
      </c>
      <c r="B1206" s="521" t="s">
        <v>3952</v>
      </c>
      <c r="C1206" s="520" t="s">
        <v>213</v>
      </c>
      <c r="D1206" s="472">
        <v>6.1820000000000004</v>
      </c>
      <c r="E1206" s="522">
        <v>5.87</v>
      </c>
      <c r="F1206" s="523">
        <v>11.72</v>
      </c>
      <c r="G1206" s="524" t="s">
        <v>3663</v>
      </c>
      <c r="H1206" s="525" t="s">
        <v>3666</v>
      </c>
      <c r="I1206" s="474"/>
      <c r="J1206" s="475" t="s">
        <v>5386</v>
      </c>
    </row>
    <row r="1207" spans="1:10" ht="14.25" customHeight="1">
      <c r="A1207" s="520" t="s">
        <v>1966</v>
      </c>
      <c r="B1207" s="521" t="s">
        <v>1967</v>
      </c>
      <c r="C1207" s="520" t="s">
        <v>213</v>
      </c>
      <c r="D1207" s="472">
        <v>8.44</v>
      </c>
      <c r="E1207" s="522">
        <v>7.9779999999999998</v>
      </c>
      <c r="F1207" s="523" t="s">
        <v>4166</v>
      </c>
      <c r="G1207" s="524" t="s">
        <v>3663</v>
      </c>
      <c r="H1207" s="525" t="s">
        <v>3666</v>
      </c>
      <c r="I1207" s="474"/>
      <c r="J1207" s="475" t="s">
        <v>5387</v>
      </c>
    </row>
    <row r="1208" spans="1:10" ht="14.25" customHeight="1">
      <c r="A1208" s="520" t="s">
        <v>1968</v>
      </c>
      <c r="B1208" s="521" t="s">
        <v>1969</v>
      </c>
      <c r="C1208" s="520" t="s">
        <v>213</v>
      </c>
      <c r="D1208" s="472">
        <v>5.2110000000000003</v>
      </c>
      <c r="E1208" s="522">
        <v>4.9560000000000004</v>
      </c>
      <c r="F1208" s="523">
        <v>10.4</v>
      </c>
      <c r="G1208" s="524" t="s">
        <v>3663</v>
      </c>
      <c r="H1208" s="525" t="s">
        <v>3666</v>
      </c>
      <c r="I1208" s="474"/>
      <c r="J1208" s="475" t="s">
        <v>5388</v>
      </c>
    </row>
    <row r="1209" spans="1:10" ht="14.25" customHeight="1">
      <c r="A1209" s="520" t="s">
        <v>1970</v>
      </c>
      <c r="B1209" s="521" t="s">
        <v>1971</v>
      </c>
      <c r="C1209" s="520" t="s">
        <v>213</v>
      </c>
      <c r="D1209" s="472">
        <v>1.28</v>
      </c>
      <c r="E1209" s="522">
        <v>1.1930000000000001</v>
      </c>
      <c r="F1209" s="523" t="s">
        <v>4166</v>
      </c>
      <c r="G1209" s="524" t="s">
        <v>3663</v>
      </c>
      <c r="H1209" s="525" t="s">
        <v>3666</v>
      </c>
      <c r="I1209" s="474"/>
      <c r="J1209" s="475" t="s">
        <v>5389</v>
      </c>
    </row>
    <row r="1210" spans="1:10" ht="14.25" customHeight="1">
      <c r="A1210" s="520" t="s">
        <v>1972</v>
      </c>
      <c r="B1210" s="521" t="s">
        <v>3953</v>
      </c>
      <c r="C1210" s="520" t="s">
        <v>213</v>
      </c>
      <c r="D1210" s="472">
        <v>6.35</v>
      </c>
      <c r="E1210" s="522">
        <v>5.99</v>
      </c>
      <c r="F1210" s="523" t="s">
        <v>4166</v>
      </c>
      <c r="G1210" s="524" t="s">
        <v>3663</v>
      </c>
      <c r="H1210" s="525" t="s">
        <v>3666</v>
      </c>
      <c r="I1210" s="474"/>
      <c r="J1210" s="475" t="s">
        <v>5390</v>
      </c>
    </row>
    <row r="1211" spans="1:10" ht="14.25" customHeight="1">
      <c r="A1211" s="520" t="s">
        <v>1973</v>
      </c>
      <c r="B1211" s="521" t="s">
        <v>1974</v>
      </c>
      <c r="C1211" s="520" t="s">
        <v>213</v>
      </c>
      <c r="D1211" s="472">
        <v>8.609</v>
      </c>
      <c r="E1211" s="522">
        <v>8.0980000000000008</v>
      </c>
      <c r="F1211" s="523" t="s">
        <v>4166</v>
      </c>
      <c r="G1211" s="524" t="s">
        <v>3663</v>
      </c>
      <c r="H1211" s="525" t="s">
        <v>3666</v>
      </c>
      <c r="I1211" s="474"/>
      <c r="J1211" s="475" t="s">
        <v>5391</v>
      </c>
    </row>
    <row r="1212" spans="1:10" ht="14.25" customHeight="1">
      <c r="A1212" s="520" t="s">
        <v>1975</v>
      </c>
      <c r="B1212" s="521" t="s">
        <v>1976</v>
      </c>
      <c r="C1212" s="520" t="s">
        <v>213</v>
      </c>
      <c r="D1212" s="472">
        <v>5.2110000000000003</v>
      </c>
      <c r="E1212" s="522">
        <v>4.9560000000000004</v>
      </c>
      <c r="F1212" s="523">
        <v>10.8</v>
      </c>
      <c r="G1212" s="524" t="s">
        <v>3663</v>
      </c>
      <c r="H1212" s="525" t="s">
        <v>3666</v>
      </c>
      <c r="I1212" s="474"/>
      <c r="J1212" s="475" t="s">
        <v>5392</v>
      </c>
    </row>
    <row r="1213" spans="1:10" ht="14.25" customHeight="1">
      <c r="A1213" s="520" t="s">
        <v>1977</v>
      </c>
      <c r="B1213" s="521" t="s">
        <v>4060</v>
      </c>
      <c r="C1213" s="520" t="s">
        <v>213</v>
      </c>
      <c r="D1213" s="472">
        <v>6.35</v>
      </c>
      <c r="E1213" s="522">
        <v>5.99</v>
      </c>
      <c r="F1213" s="523">
        <v>12.14</v>
      </c>
      <c r="G1213" s="524" t="s">
        <v>3663</v>
      </c>
      <c r="H1213" s="525" t="s">
        <v>3666</v>
      </c>
      <c r="I1213" s="474"/>
      <c r="J1213" s="475" t="s">
        <v>5393</v>
      </c>
    </row>
    <row r="1214" spans="1:10" ht="14.25" customHeight="1">
      <c r="A1214" s="520" t="s">
        <v>1978</v>
      </c>
      <c r="B1214" s="521" t="s">
        <v>1979</v>
      </c>
      <c r="C1214" s="520" t="s">
        <v>213</v>
      </c>
      <c r="D1214" s="472">
        <v>8.609</v>
      </c>
      <c r="E1214" s="522">
        <v>8.0980000000000008</v>
      </c>
      <c r="F1214" s="523" t="s">
        <v>4166</v>
      </c>
      <c r="G1214" s="524" t="s">
        <v>3663</v>
      </c>
      <c r="H1214" s="525" t="s">
        <v>3666</v>
      </c>
      <c r="I1214" s="474"/>
      <c r="J1214" s="475" t="s">
        <v>5394</v>
      </c>
    </row>
    <row r="1215" spans="1:10" ht="14.25" customHeight="1">
      <c r="A1215" s="520" t="s">
        <v>1980</v>
      </c>
      <c r="B1215" s="521" t="s">
        <v>1981</v>
      </c>
      <c r="C1215" s="520" t="s">
        <v>213</v>
      </c>
      <c r="D1215" s="472">
        <v>6.165</v>
      </c>
      <c r="E1215" s="522">
        <v>5.76</v>
      </c>
      <c r="F1215" s="523">
        <v>13.4</v>
      </c>
      <c r="G1215" s="524" t="s">
        <v>3663</v>
      </c>
      <c r="H1215" s="525" t="s">
        <v>3666</v>
      </c>
      <c r="I1215" s="474"/>
      <c r="J1215" s="475" t="s">
        <v>5395</v>
      </c>
    </row>
    <row r="1216" spans="1:10" ht="14.25" customHeight="1">
      <c r="A1216" s="520" t="s">
        <v>1982</v>
      </c>
      <c r="B1216" s="521" t="s">
        <v>1983</v>
      </c>
      <c r="C1216" s="520" t="s">
        <v>213</v>
      </c>
      <c r="D1216" s="472">
        <v>5.8860000000000001</v>
      </c>
      <c r="E1216" s="522">
        <v>5.5540000000000003</v>
      </c>
      <c r="F1216" s="523">
        <v>13</v>
      </c>
      <c r="G1216" s="524" t="s">
        <v>3663</v>
      </c>
      <c r="H1216" s="525" t="s">
        <v>3666</v>
      </c>
      <c r="I1216" s="474"/>
      <c r="J1216" s="475" t="s">
        <v>5396</v>
      </c>
    </row>
    <row r="1217" spans="1:10" ht="14.25" customHeight="1">
      <c r="A1217" s="520" t="s">
        <v>1984</v>
      </c>
      <c r="B1217" s="521" t="s">
        <v>1985</v>
      </c>
      <c r="C1217" s="520" t="s">
        <v>213</v>
      </c>
      <c r="D1217" s="472">
        <v>8.4600000000000009</v>
      </c>
      <c r="E1217" s="522">
        <v>7.9489999999999998</v>
      </c>
      <c r="F1217" s="523">
        <v>13.4</v>
      </c>
      <c r="G1217" s="524" t="s">
        <v>3663</v>
      </c>
      <c r="H1217" s="525" t="s">
        <v>3666</v>
      </c>
      <c r="I1217" s="474"/>
      <c r="J1217" s="475" t="s">
        <v>5397</v>
      </c>
    </row>
    <row r="1218" spans="1:10" ht="14.25" customHeight="1">
      <c r="A1218" s="528" t="s">
        <v>3367</v>
      </c>
      <c r="B1218" s="529" t="s">
        <v>3368</v>
      </c>
      <c r="C1218" s="520" t="s">
        <v>213</v>
      </c>
      <c r="D1218" s="472">
        <v>6.165</v>
      </c>
      <c r="E1218" s="522">
        <v>5.76</v>
      </c>
      <c r="F1218" s="523">
        <v>13.4</v>
      </c>
      <c r="G1218" s="524" t="s">
        <v>3663</v>
      </c>
      <c r="H1218" s="525" t="s">
        <v>3666</v>
      </c>
      <c r="I1218" s="474"/>
      <c r="J1218" s="475" t="s">
        <v>5398</v>
      </c>
    </row>
    <row r="1219" spans="1:10" ht="14.25" customHeight="1">
      <c r="A1219" s="528" t="s">
        <v>3369</v>
      </c>
      <c r="B1219" s="529" t="s">
        <v>3370</v>
      </c>
      <c r="C1219" s="520" t="s">
        <v>213</v>
      </c>
      <c r="D1219" s="472">
        <v>5.8860000000000001</v>
      </c>
      <c r="E1219" s="522">
        <v>5.5540000000000003</v>
      </c>
      <c r="F1219" s="523">
        <v>13.4</v>
      </c>
      <c r="G1219" s="524" t="s">
        <v>3663</v>
      </c>
      <c r="H1219" s="525" t="s">
        <v>3666</v>
      </c>
      <c r="I1219" s="474"/>
      <c r="J1219" s="475" t="s">
        <v>5399</v>
      </c>
    </row>
    <row r="1220" spans="1:10" ht="14.25" customHeight="1">
      <c r="A1220" s="528" t="s">
        <v>3371</v>
      </c>
      <c r="B1220" s="529" t="s">
        <v>3372</v>
      </c>
      <c r="C1220" s="520" t="s">
        <v>213</v>
      </c>
      <c r="D1220" s="472">
        <v>8.4600000000000009</v>
      </c>
      <c r="E1220" s="522">
        <v>7.9489999999999998</v>
      </c>
      <c r="F1220" s="523">
        <v>13.4</v>
      </c>
      <c r="G1220" s="524" t="s">
        <v>3663</v>
      </c>
      <c r="H1220" s="525" t="s">
        <v>3666</v>
      </c>
      <c r="I1220" s="474"/>
      <c r="J1220" s="475" t="s">
        <v>5400</v>
      </c>
    </row>
    <row r="1221" spans="1:10" ht="14.25" customHeight="1">
      <c r="A1221" s="570" t="s">
        <v>3954</v>
      </c>
      <c r="B1221" s="571" t="s">
        <v>3955</v>
      </c>
      <c r="C1221" s="572" t="s">
        <v>213</v>
      </c>
      <c r="D1221" s="573">
        <v>18.215</v>
      </c>
      <c r="E1221" s="522">
        <v>14.702999999999999</v>
      </c>
      <c r="F1221" s="523"/>
      <c r="G1221" s="524" t="s">
        <v>3663</v>
      </c>
      <c r="H1221" s="525" t="s">
        <v>3666</v>
      </c>
      <c r="I1221" s="474"/>
      <c r="J1221" s="475" t="s">
        <v>5401</v>
      </c>
    </row>
    <row r="1222" spans="1:10" ht="14.25" customHeight="1">
      <c r="A1222" s="570" t="s">
        <v>3956</v>
      </c>
      <c r="B1222" s="571" t="s">
        <v>3957</v>
      </c>
      <c r="C1222" s="572" t="s">
        <v>213</v>
      </c>
      <c r="D1222" s="573">
        <v>18.215</v>
      </c>
      <c r="E1222" s="522">
        <v>14.702999999999999</v>
      </c>
      <c r="F1222" s="523"/>
      <c r="G1222" s="524" t="s">
        <v>3663</v>
      </c>
      <c r="H1222" s="525" t="s">
        <v>3666</v>
      </c>
      <c r="I1222" s="474"/>
      <c r="J1222" s="475" t="s">
        <v>5402</v>
      </c>
    </row>
    <row r="1223" spans="1:10" ht="14.25" customHeight="1">
      <c r="A1223" s="570" t="s">
        <v>3958</v>
      </c>
      <c r="B1223" s="571" t="s">
        <v>3959</v>
      </c>
      <c r="C1223" s="572" t="s">
        <v>213</v>
      </c>
      <c r="D1223" s="570">
        <v>16.559000000000001</v>
      </c>
      <c r="E1223" s="522">
        <v>13.366</v>
      </c>
      <c r="F1223" s="523"/>
      <c r="G1223" s="524" t="s">
        <v>3663</v>
      </c>
      <c r="H1223" s="525" t="s">
        <v>3666</v>
      </c>
      <c r="I1223" s="474"/>
      <c r="J1223" s="475" t="s">
        <v>5403</v>
      </c>
    </row>
    <row r="1224" spans="1:10" ht="14.25" customHeight="1">
      <c r="A1224" s="570" t="s">
        <v>3960</v>
      </c>
      <c r="B1224" s="571" t="s">
        <v>3961</v>
      </c>
      <c r="C1224" s="572" t="s">
        <v>213</v>
      </c>
      <c r="D1224" s="570">
        <v>16.559000000000001</v>
      </c>
      <c r="E1224" s="522">
        <v>13.366</v>
      </c>
      <c r="F1224" s="523"/>
      <c r="G1224" s="524" t="s">
        <v>3663</v>
      </c>
      <c r="H1224" s="525" t="s">
        <v>3666</v>
      </c>
      <c r="I1224" s="474"/>
      <c r="J1224" s="475" t="s">
        <v>5404</v>
      </c>
    </row>
    <row r="1225" spans="1:10" ht="14.25" customHeight="1">
      <c r="A1225" s="570" t="s">
        <v>3962</v>
      </c>
      <c r="B1225" s="571" t="s">
        <v>3963</v>
      </c>
      <c r="C1225" s="572" t="s">
        <v>213</v>
      </c>
      <c r="D1225" s="570">
        <v>16.559000000000001</v>
      </c>
      <c r="E1225" s="522">
        <v>13.366</v>
      </c>
      <c r="F1225" s="523"/>
      <c r="G1225" s="524" t="s">
        <v>3663</v>
      </c>
      <c r="H1225" s="525" t="s">
        <v>3666</v>
      </c>
      <c r="I1225" s="474"/>
      <c r="J1225" s="475" t="s">
        <v>5405</v>
      </c>
    </row>
    <row r="1226" spans="1:10" ht="14.25" customHeight="1">
      <c r="A1226" s="570" t="s">
        <v>3964</v>
      </c>
      <c r="B1226" s="571" t="s">
        <v>3965</v>
      </c>
      <c r="C1226" s="572" t="s">
        <v>213</v>
      </c>
      <c r="D1226" s="570">
        <v>16.559000000000001</v>
      </c>
      <c r="E1226" s="522">
        <v>13.366</v>
      </c>
      <c r="F1226" s="523"/>
      <c r="G1226" s="524" t="s">
        <v>3663</v>
      </c>
      <c r="H1226" s="525" t="s">
        <v>3666</v>
      </c>
      <c r="I1226" s="474"/>
      <c r="J1226" s="475" t="s">
        <v>5406</v>
      </c>
    </row>
    <row r="1227" spans="1:10" ht="14.25" customHeight="1">
      <c r="A1227" s="570" t="s">
        <v>3966</v>
      </c>
      <c r="B1227" s="571" t="s">
        <v>3967</v>
      </c>
      <c r="C1227" s="572" t="s">
        <v>213</v>
      </c>
      <c r="D1227" s="570">
        <v>16.559000000000001</v>
      </c>
      <c r="E1227" s="522">
        <v>13.366</v>
      </c>
      <c r="F1227" s="523"/>
      <c r="G1227" s="524" t="s">
        <v>3663</v>
      </c>
      <c r="H1227" s="525" t="s">
        <v>3666</v>
      </c>
      <c r="I1227" s="474"/>
      <c r="J1227" s="475" t="s">
        <v>5407</v>
      </c>
    </row>
    <row r="1228" spans="1:10" ht="14.25" customHeight="1">
      <c r="A1228" s="570" t="s">
        <v>3968</v>
      </c>
      <c r="B1228" s="571" t="s">
        <v>3969</v>
      </c>
      <c r="C1228" s="572" t="s">
        <v>213</v>
      </c>
      <c r="D1228" s="570">
        <v>16.559000000000001</v>
      </c>
      <c r="E1228" s="522">
        <v>13.366</v>
      </c>
      <c r="F1228" s="523"/>
      <c r="G1228" s="524" t="s">
        <v>3663</v>
      </c>
      <c r="H1228" s="525" t="s">
        <v>3666</v>
      </c>
      <c r="I1228" s="474"/>
      <c r="J1228" s="475" t="s">
        <v>5408</v>
      </c>
    </row>
    <row r="1229" spans="1:10" ht="14.25" customHeight="1">
      <c r="A1229" s="570" t="s">
        <v>3970</v>
      </c>
      <c r="B1229" s="571" t="s">
        <v>3971</v>
      </c>
      <c r="C1229" s="572" t="s">
        <v>213</v>
      </c>
      <c r="D1229" s="570">
        <v>16.559000000000001</v>
      </c>
      <c r="E1229" s="522">
        <v>13.366</v>
      </c>
      <c r="F1229" s="523"/>
      <c r="G1229" s="524" t="s">
        <v>3663</v>
      </c>
      <c r="H1229" s="525" t="s">
        <v>3666</v>
      </c>
      <c r="I1229" s="474"/>
      <c r="J1229" s="475" t="s">
        <v>5409</v>
      </c>
    </row>
    <row r="1230" spans="1:10" ht="14.25" customHeight="1">
      <c r="A1230" s="570" t="s">
        <v>3972</v>
      </c>
      <c r="B1230" s="571" t="s">
        <v>3973</v>
      </c>
      <c r="C1230" s="572" t="s">
        <v>213</v>
      </c>
      <c r="D1230" s="570">
        <v>16.559000000000001</v>
      </c>
      <c r="E1230" s="522">
        <v>13.366</v>
      </c>
      <c r="F1230" s="523"/>
      <c r="G1230" s="524" t="s">
        <v>3663</v>
      </c>
      <c r="H1230" s="525" t="s">
        <v>3666</v>
      </c>
      <c r="I1230" s="474"/>
      <c r="J1230" s="475" t="s">
        <v>5410</v>
      </c>
    </row>
    <row r="1231" spans="1:10" ht="14.25" customHeight="1">
      <c r="A1231" s="570" t="s">
        <v>3974</v>
      </c>
      <c r="B1231" s="571" t="s">
        <v>3975</v>
      </c>
      <c r="C1231" s="572" t="s">
        <v>213</v>
      </c>
      <c r="D1231" s="570">
        <v>16.559000000000001</v>
      </c>
      <c r="E1231" s="522">
        <v>13.366</v>
      </c>
      <c r="F1231" s="523"/>
      <c r="G1231" s="524" t="s">
        <v>3663</v>
      </c>
      <c r="H1231" s="525" t="s">
        <v>3666</v>
      </c>
      <c r="I1231" s="474"/>
      <c r="J1231" s="475" t="s">
        <v>5411</v>
      </c>
    </row>
    <row r="1232" spans="1:10" ht="14.25" customHeight="1">
      <c r="A1232" s="570" t="s">
        <v>3976</v>
      </c>
      <c r="B1232" s="571" t="s">
        <v>3977</v>
      </c>
      <c r="C1232" s="572" t="s">
        <v>213</v>
      </c>
      <c r="D1232" s="570">
        <v>16.559000000000001</v>
      </c>
      <c r="E1232" s="522">
        <v>13.366</v>
      </c>
      <c r="F1232" s="523"/>
      <c r="G1232" s="524" t="s">
        <v>3663</v>
      </c>
      <c r="H1232" s="525" t="s">
        <v>3666</v>
      </c>
      <c r="I1232" s="474"/>
      <c r="J1232" s="475" t="s">
        <v>5412</v>
      </c>
    </row>
    <row r="1233" spans="1:10" ht="14.25" customHeight="1">
      <c r="A1233" s="570" t="s">
        <v>3978</v>
      </c>
      <c r="B1233" s="571" t="s">
        <v>3979</v>
      </c>
      <c r="C1233" s="572" t="s">
        <v>213</v>
      </c>
      <c r="D1233" s="570">
        <v>16.559000000000001</v>
      </c>
      <c r="E1233" s="522">
        <v>13.366</v>
      </c>
      <c r="F1233" s="523"/>
      <c r="G1233" s="524" t="s">
        <v>3663</v>
      </c>
      <c r="H1233" s="525" t="s">
        <v>3666</v>
      </c>
      <c r="I1233" s="474"/>
      <c r="J1233" s="475" t="s">
        <v>5413</v>
      </c>
    </row>
    <row r="1234" spans="1:10" ht="14.25" customHeight="1">
      <c r="A1234" s="570" t="s">
        <v>3980</v>
      </c>
      <c r="B1234" s="571" t="s">
        <v>3981</v>
      </c>
      <c r="C1234" s="572" t="s">
        <v>213</v>
      </c>
      <c r="D1234" s="570">
        <v>16.559000000000001</v>
      </c>
      <c r="E1234" s="522">
        <v>13.366</v>
      </c>
      <c r="F1234" s="523"/>
      <c r="G1234" s="524" t="s">
        <v>3663</v>
      </c>
      <c r="H1234" s="525" t="s">
        <v>3666</v>
      </c>
      <c r="I1234" s="474"/>
      <c r="J1234" s="475" t="s">
        <v>5414</v>
      </c>
    </row>
    <row r="1235" spans="1:10" ht="14.25" customHeight="1">
      <c r="A1235" s="570" t="s">
        <v>3982</v>
      </c>
      <c r="B1235" s="571" t="s">
        <v>3983</v>
      </c>
      <c r="C1235" s="572" t="s">
        <v>213</v>
      </c>
      <c r="D1235" s="570">
        <v>16.559000000000001</v>
      </c>
      <c r="E1235" s="522">
        <v>13.366</v>
      </c>
      <c r="F1235" s="523"/>
      <c r="G1235" s="524" t="s">
        <v>3663</v>
      </c>
      <c r="H1235" s="525" t="s">
        <v>3666</v>
      </c>
      <c r="I1235" s="474"/>
      <c r="J1235" s="475" t="s">
        <v>5415</v>
      </c>
    </row>
    <row r="1236" spans="1:10" ht="14.25" customHeight="1">
      <c r="A1236" s="570" t="s">
        <v>3984</v>
      </c>
      <c r="B1236" s="571" t="s">
        <v>3985</v>
      </c>
      <c r="C1236" s="572" t="s">
        <v>213</v>
      </c>
      <c r="D1236" s="570">
        <v>16.559000000000001</v>
      </c>
      <c r="E1236" s="522">
        <v>13.366</v>
      </c>
      <c r="F1236" s="523"/>
      <c r="G1236" s="524" t="s">
        <v>3663</v>
      </c>
      <c r="H1236" s="525" t="s">
        <v>3666</v>
      </c>
      <c r="I1236" s="474"/>
      <c r="J1236" s="475" t="s">
        <v>5416</v>
      </c>
    </row>
    <row r="1237" spans="1:10" ht="14.25" customHeight="1">
      <c r="A1237" s="570" t="s">
        <v>3986</v>
      </c>
      <c r="B1237" s="571" t="s">
        <v>3987</v>
      </c>
      <c r="C1237" s="572" t="s">
        <v>213</v>
      </c>
      <c r="D1237" s="570">
        <v>16.559000000000001</v>
      </c>
      <c r="E1237" s="522">
        <v>13.366</v>
      </c>
      <c r="F1237" s="523"/>
      <c r="G1237" s="524" t="s">
        <v>3663</v>
      </c>
      <c r="H1237" s="525" t="s">
        <v>3666</v>
      </c>
      <c r="I1237" s="474"/>
      <c r="J1237" s="475" t="s">
        <v>5417</v>
      </c>
    </row>
    <row r="1238" spans="1:10" ht="14.25" customHeight="1">
      <c r="A1238" s="570" t="s">
        <v>3988</v>
      </c>
      <c r="B1238" s="571" t="s">
        <v>3989</v>
      </c>
      <c r="C1238" s="572" t="s">
        <v>213</v>
      </c>
      <c r="D1238" s="570">
        <v>16.559000000000001</v>
      </c>
      <c r="E1238" s="522">
        <v>13.366</v>
      </c>
      <c r="F1238" s="523"/>
      <c r="G1238" s="524" t="s">
        <v>3663</v>
      </c>
      <c r="H1238" s="525" t="s">
        <v>3666</v>
      </c>
      <c r="I1238" s="474"/>
      <c r="J1238" s="475" t="s">
        <v>5418</v>
      </c>
    </row>
    <row r="1239" spans="1:10" ht="14.25" customHeight="1">
      <c r="A1239" s="570" t="s">
        <v>3990</v>
      </c>
      <c r="B1239" s="571" t="s">
        <v>3991</v>
      </c>
      <c r="C1239" s="572" t="s">
        <v>213</v>
      </c>
      <c r="D1239" s="570">
        <v>16.559000000000001</v>
      </c>
      <c r="E1239" s="522">
        <v>13.366</v>
      </c>
      <c r="F1239" s="523"/>
      <c r="G1239" s="524" t="s">
        <v>3663</v>
      </c>
      <c r="H1239" s="525" t="s">
        <v>3666</v>
      </c>
      <c r="I1239" s="474"/>
      <c r="J1239" s="475" t="s">
        <v>5419</v>
      </c>
    </row>
    <row r="1240" spans="1:10" ht="14.25" customHeight="1">
      <c r="A1240" s="570" t="s">
        <v>3992</v>
      </c>
      <c r="B1240" s="571" t="s">
        <v>3993</v>
      </c>
      <c r="C1240" s="572" t="s">
        <v>213</v>
      </c>
      <c r="D1240" s="570">
        <v>16.559000000000001</v>
      </c>
      <c r="E1240" s="522">
        <v>13.366</v>
      </c>
      <c r="F1240" s="523"/>
      <c r="G1240" s="524" t="s">
        <v>3663</v>
      </c>
      <c r="H1240" s="525" t="s">
        <v>3666</v>
      </c>
      <c r="I1240" s="474"/>
      <c r="J1240" s="475" t="s">
        <v>5420</v>
      </c>
    </row>
    <row r="1241" spans="1:10" ht="14.25" customHeight="1">
      <c r="A1241" s="570" t="s">
        <v>3994</v>
      </c>
      <c r="B1241" s="571" t="s">
        <v>3995</v>
      </c>
      <c r="C1241" s="572" t="s">
        <v>213</v>
      </c>
      <c r="D1241" s="573">
        <v>10.58</v>
      </c>
      <c r="E1241" s="522">
        <v>8.5399999999999991</v>
      </c>
      <c r="F1241" s="523"/>
      <c r="G1241" s="524" t="s">
        <v>3663</v>
      </c>
      <c r="H1241" s="525" t="s">
        <v>3666</v>
      </c>
      <c r="I1241" s="474"/>
      <c r="J1241" s="475" t="s">
        <v>5421</v>
      </c>
    </row>
    <row r="1242" spans="1:10" ht="14.25" customHeight="1">
      <c r="A1242" s="570" t="s">
        <v>3996</v>
      </c>
      <c r="B1242" s="571" t="s">
        <v>3997</v>
      </c>
      <c r="C1242" s="572" t="s">
        <v>213</v>
      </c>
      <c r="D1242" s="573">
        <v>10.58</v>
      </c>
      <c r="E1242" s="522">
        <v>8.5399999999999991</v>
      </c>
      <c r="F1242" s="523"/>
      <c r="G1242" s="524" t="s">
        <v>3663</v>
      </c>
      <c r="H1242" s="525" t="s">
        <v>3666</v>
      </c>
      <c r="I1242" s="474"/>
      <c r="J1242" s="475" t="s">
        <v>5422</v>
      </c>
    </row>
    <row r="1243" spans="1:10" ht="14.25" customHeight="1">
      <c r="A1243" s="570" t="s">
        <v>3998</v>
      </c>
      <c r="B1243" s="571" t="s">
        <v>3999</v>
      </c>
      <c r="C1243" s="572" t="s">
        <v>213</v>
      </c>
      <c r="D1243" s="573">
        <v>8.9239999999999995</v>
      </c>
      <c r="E1243" s="522">
        <v>7.2039999999999997</v>
      </c>
      <c r="F1243" s="523"/>
      <c r="G1243" s="524" t="s">
        <v>3663</v>
      </c>
      <c r="H1243" s="525" t="s">
        <v>3666</v>
      </c>
      <c r="I1243" s="474"/>
      <c r="J1243" s="475" t="s">
        <v>5423</v>
      </c>
    </row>
    <row r="1244" spans="1:10" ht="14.25" customHeight="1">
      <c r="A1244" s="570" t="s">
        <v>4000</v>
      </c>
      <c r="B1244" s="571" t="s">
        <v>4001</v>
      </c>
      <c r="C1244" s="572" t="s">
        <v>213</v>
      </c>
      <c r="D1244" s="573">
        <v>8.9239999999999995</v>
      </c>
      <c r="E1244" s="522">
        <v>7.2039999999999997</v>
      </c>
      <c r="F1244" s="523"/>
      <c r="G1244" s="524" t="s">
        <v>3663</v>
      </c>
      <c r="H1244" s="525" t="s">
        <v>3666</v>
      </c>
      <c r="I1244" s="474"/>
      <c r="J1244" s="475" t="s">
        <v>5424</v>
      </c>
    </row>
    <row r="1245" spans="1:10" ht="14.25" customHeight="1">
      <c r="A1245" s="570" t="s">
        <v>4002</v>
      </c>
      <c r="B1245" s="571" t="s">
        <v>4003</v>
      </c>
      <c r="C1245" s="572" t="s">
        <v>213</v>
      </c>
      <c r="D1245" s="573">
        <v>8.9239999999999995</v>
      </c>
      <c r="E1245" s="522">
        <v>7.2039999999999997</v>
      </c>
      <c r="F1245" s="523"/>
      <c r="G1245" s="524" t="s">
        <v>3663</v>
      </c>
      <c r="H1245" s="525" t="s">
        <v>3666</v>
      </c>
      <c r="I1245" s="474"/>
      <c r="J1245" s="475" t="s">
        <v>5425</v>
      </c>
    </row>
    <row r="1246" spans="1:10" ht="14.25" customHeight="1">
      <c r="A1246" s="570" t="s">
        <v>4004</v>
      </c>
      <c r="B1246" s="571" t="s">
        <v>4005</v>
      </c>
      <c r="C1246" s="572" t="s">
        <v>213</v>
      </c>
      <c r="D1246" s="573">
        <v>8.9239999999999995</v>
      </c>
      <c r="E1246" s="522">
        <v>7.2039999999999997</v>
      </c>
      <c r="F1246" s="523"/>
      <c r="G1246" s="524" t="s">
        <v>3663</v>
      </c>
      <c r="H1246" s="525" t="s">
        <v>3666</v>
      </c>
      <c r="I1246" s="474"/>
      <c r="J1246" s="475" t="s">
        <v>5426</v>
      </c>
    </row>
    <row r="1247" spans="1:10" ht="14.25" customHeight="1">
      <c r="A1247" s="570" t="s">
        <v>4006</v>
      </c>
      <c r="B1247" s="571" t="s">
        <v>4007</v>
      </c>
      <c r="C1247" s="572" t="s">
        <v>213</v>
      </c>
      <c r="D1247" s="573">
        <v>8.9239999999999995</v>
      </c>
      <c r="E1247" s="522">
        <v>7.2039999999999997</v>
      </c>
      <c r="F1247" s="523"/>
      <c r="G1247" s="524" t="s">
        <v>3663</v>
      </c>
      <c r="H1247" s="525" t="s">
        <v>3666</v>
      </c>
      <c r="I1247" s="474"/>
      <c r="J1247" s="475" t="s">
        <v>5427</v>
      </c>
    </row>
    <row r="1248" spans="1:10" ht="14.25" customHeight="1">
      <c r="A1248" s="570" t="s">
        <v>4008</v>
      </c>
      <c r="B1248" s="571" t="s">
        <v>4009</v>
      </c>
      <c r="C1248" s="572" t="s">
        <v>213</v>
      </c>
      <c r="D1248" s="573">
        <v>8.9239999999999995</v>
      </c>
      <c r="E1248" s="522">
        <v>7.2039999999999997</v>
      </c>
      <c r="F1248" s="523"/>
      <c r="G1248" s="524" t="s">
        <v>3663</v>
      </c>
      <c r="H1248" s="525" t="s">
        <v>3666</v>
      </c>
      <c r="I1248" s="474"/>
      <c r="J1248" s="475" t="s">
        <v>5428</v>
      </c>
    </row>
    <row r="1249" spans="1:10" ht="14.25" customHeight="1">
      <c r="A1249" s="570" t="s">
        <v>4010</v>
      </c>
      <c r="B1249" s="571" t="s">
        <v>4011</v>
      </c>
      <c r="C1249" s="572" t="s">
        <v>213</v>
      </c>
      <c r="D1249" s="573">
        <v>8.9239999999999995</v>
      </c>
      <c r="E1249" s="522">
        <v>7.2039999999999997</v>
      </c>
      <c r="F1249" s="523"/>
      <c r="G1249" s="524" t="s">
        <v>3663</v>
      </c>
      <c r="H1249" s="525" t="s">
        <v>3666</v>
      </c>
      <c r="I1249" s="474"/>
      <c r="J1249" s="475" t="s">
        <v>5429</v>
      </c>
    </row>
    <row r="1250" spans="1:10" ht="14.25" customHeight="1">
      <c r="A1250" s="570" t="s">
        <v>4012</v>
      </c>
      <c r="B1250" s="571" t="s">
        <v>4013</v>
      </c>
      <c r="C1250" s="572" t="s">
        <v>213</v>
      </c>
      <c r="D1250" s="573">
        <v>8.9239999999999995</v>
      </c>
      <c r="E1250" s="522">
        <v>7.2039999999999997</v>
      </c>
      <c r="F1250" s="523"/>
      <c r="G1250" s="524" t="s">
        <v>3663</v>
      </c>
      <c r="H1250" s="525" t="s">
        <v>3666</v>
      </c>
      <c r="I1250" s="474"/>
      <c r="J1250" s="475" t="s">
        <v>5430</v>
      </c>
    </row>
    <row r="1251" spans="1:10" ht="14.25" customHeight="1">
      <c r="A1251" s="570" t="s">
        <v>4014</v>
      </c>
      <c r="B1251" s="571" t="s">
        <v>4015</v>
      </c>
      <c r="C1251" s="572" t="s">
        <v>213</v>
      </c>
      <c r="D1251" s="573">
        <v>8.9239999999999995</v>
      </c>
      <c r="E1251" s="522">
        <v>7.2039999999999997</v>
      </c>
      <c r="F1251" s="523"/>
      <c r="G1251" s="524" t="s">
        <v>3663</v>
      </c>
      <c r="H1251" s="525" t="s">
        <v>3666</v>
      </c>
      <c r="I1251" s="474"/>
      <c r="J1251" s="475" t="s">
        <v>5431</v>
      </c>
    </row>
    <row r="1252" spans="1:10" ht="14.25" customHeight="1">
      <c r="A1252" s="570" t="s">
        <v>4016</v>
      </c>
      <c r="B1252" s="571" t="s">
        <v>4017</v>
      </c>
      <c r="C1252" s="572" t="s">
        <v>213</v>
      </c>
      <c r="D1252" s="573">
        <v>8.9239999999999995</v>
      </c>
      <c r="E1252" s="522">
        <v>7.2039999999999997</v>
      </c>
      <c r="F1252" s="523"/>
      <c r="G1252" s="524" t="s">
        <v>3663</v>
      </c>
      <c r="H1252" s="525" t="s">
        <v>3666</v>
      </c>
      <c r="I1252" s="474"/>
      <c r="J1252" s="475" t="s">
        <v>5432</v>
      </c>
    </row>
    <row r="1253" spans="1:10" ht="14.25" customHeight="1">
      <c r="A1253" s="570" t="s">
        <v>4018</v>
      </c>
      <c r="B1253" s="571" t="s">
        <v>4019</v>
      </c>
      <c r="C1253" s="572" t="s">
        <v>213</v>
      </c>
      <c r="D1253" s="573">
        <v>8.9239999999999995</v>
      </c>
      <c r="E1253" s="522">
        <v>7.2039999999999997</v>
      </c>
      <c r="F1253" s="523"/>
      <c r="G1253" s="524" t="s">
        <v>3663</v>
      </c>
      <c r="H1253" s="525" t="s">
        <v>3666</v>
      </c>
      <c r="I1253" s="474"/>
      <c r="J1253" s="475" t="s">
        <v>5433</v>
      </c>
    </row>
    <row r="1254" spans="1:10" ht="14.25" customHeight="1">
      <c r="A1254" s="570" t="s">
        <v>4020</v>
      </c>
      <c r="B1254" s="571" t="s">
        <v>4021</v>
      </c>
      <c r="C1254" s="572" t="s">
        <v>213</v>
      </c>
      <c r="D1254" s="573">
        <v>8.9239999999999995</v>
      </c>
      <c r="E1254" s="522">
        <v>7.2039999999999997</v>
      </c>
      <c r="F1254" s="523"/>
      <c r="G1254" s="524" t="s">
        <v>3663</v>
      </c>
      <c r="H1254" s="525" t="s">
        <v>3666</v>
      </c>
      <c r="I1254" s="474"/>
      <c r="J1254" s="475" t="s">
        <v>5434</v>
      </c>
    </row>
    <row r="1255" spans="1:10" ht="14.25" customHeight="1">
      <c r="A1255" s="570" t="s">
        <v>4022</v>
      </c>
      <c r="B1255" s="571" t="s">
        <v>4023</v>
      </c>
      <c r="C1255" s="572" t="s">
        <v>213</v>
      </c>
      <c r="D1255" s="573">
        <v>8.9239999999999995</v>
      </c>
      <c r="E1255" s="522">
        <v>7.2039999999999997</v>
      </c>
      <c r="F1255" s="523"/>
      <c r="G1255" s="524" t="s">
        <v>3663</v>
      </c>
      <c r="H1255" s="525" t="s">
        <v>3666</v>
      </c>
      <c r="I1255" s="474"/>
      <c r="J1255" s="475" t="s">
        <v>5435</v>
      </c>
    </row>
    <row r="1256" spans="1:10" ht="14.25" customHeight="1">
      <c r="A1256" s="570" t="s">
        <v>4024</v>
      </c>
      <c r="B1256" s="571" t="s">
        <v>4025</v>
      </c>
      <c r="C1256" s="572" t="s">
        <v>213</v>
      </c>
      <c r="D1256" s="573">
        <v>8.9239999999999995</v>
      </c>
      <c r="E1256" s="522">
        <v>7.2039999999999997</v>
      </c>
      <c r="F1256" s="523"/>
      <c r="G1256" s="524" t="s">
        <v>3663</v>
      </c>
      <c r="H1256" s="525" t="s">
        <v>3666</v>
      </c>
      <c r="I1256" s="474"/>
      <c r="J1256" s="475" t="s">
        <v>5436</v>
      </c>
    </row>
    <row r="1257" spans="1:10" ht="14.25" customHeight="1">
      <c r="A1257" s="570" t="s">
        <v>4026</v>
      </c>
      <c r="B1257" s="571" t="s">
        <v>4027</v>
      </c>
      <c r="C1257" s="572" t="s">
        <v>213</v>
      </c>
      <c r="D1257" s="573">
        <v>8.9239999999999995</v>
      </c>
      <c r="E1257" s="522">
        <v>7.2039999999999997</v>
      </c>
      <c r="F1257" s="523"/>
      <c r="G1257" s="524" t="s">
        <v>3663</v>
      </c>
      <c r="H1257" s="525" t="s">
        <v>3666</v>
      </c>
      <c r="I1257" s="474"/>
      <c r="J1257" s="475" t="s">
        <v>5437</v>
      </c>
    </row>
    <row r="1258" spans="1:10" ht="14.25" customHeight="1">
      <c r="A1258" s="570" t="s">
        <v>4028</v>
      </c>
      <c r="B1258" s="571" t="s">
        <v>4029</v>
      </c>
      <c r="C1258" s="572" t="s">
        <v>213</v>
      </c>
      <c r="D1258" s="573">
        <v>1.4990000000000001</v>
      </c>
      <c r="E1258" s="522">
        <v>1.21</v>
      </c>
      <c r="F1258" s="523"/>
      <c r="G1258" s="524" t="s">
        <v>3663</v>
      </c>
      <c r="H1258" s="525" t="s">
        <v>3666</v>
      </c>
      <c r="I1258" s="474"/>
      <c r="J1258" s="475" t="s">
        <v>5438</v>
      </c>
    </row>
    <row r="1259" spans="1:10" ht="14.25" customHeight="1">
      <c r="A1259" s="570" t="s">
        <v>4030</v>
      </c>
      <c r="B1259" s="571" t="s">
        <v>4031</v>
      </c>
      <c r="C1259" s="572" t="s">
        <v>213</v>
      </c>
      <c r="D1259" s="573">
        <v>1.4990000000000001</v>
      </c>
      <c r="E1259" s="522">
        <v>1.21</v>
      </c>
      <c r="F1259" s="523"/>
      <c r="G1259" s="524" t="s">
        <v>3663</v>
      </c>
      <c r="H1259" s="525" t="s">
        <v>3666</v>
      </c>
      <c r="I1259" s="474"/>
      <c r="J1259" s="475" t="s">
        <v>5439</v>
      </c>
    </row>
    <row r="1260" spans="1:10" ht="14.25" customHeight="1">
      <c r="A1260" s="570" t="s">
        <v>4032</v>
      </c>
      <c r="B1260" s="571" t="s">
        <v>4033</v>
      </c>
      <c r="C1260" s="572" t="s">
        <v>213</v>
      </c>
      <c r="D1260" s="573">
        <v>1.4990000000000001</v>
      </c>
      <c r="E1260" s="522">
        <v>1.21</v>
      </c>
      <c r="F1260" s="523"/>
      <c r="G1260" s="524" t="s">
        <v>3663</v>
      </c>
      <c r="H1260" s="525" t="s">
        <v>3666</v>
      </c>
      <c r="I1260" s="474"/>
      <c r="J1260" s="475" t="s">
        <v>5440</v>
      </c>
    </row>
    <row r="1261" spans="1:10" ht="14.25" customHeight="1">
      <c r="A1261" s="570" t="s">
        <v>4034</v>
      </c>
      <c r="B1261" s="571" t="s">
        <v>4035</v>
      </c>
      <c r="C1261" s="572" t="s">
        <v>213</v>
      </c>
      <c r="D1261" s="573">
        <v>1.4990000000000001</v>
      </c>
      <c r="E1261" s="522">
        <v>1.21</v>
      </c>
      <c r="F1261" s="523"/>
      <c r="G1261" s="524" t="s">
        <v>3663</v>
      </c>
      <c r="H1261" s="525" t="s">
        <v>3666</v>
      </c>
      <c r="I1261" s="474"/>
      <c r="J1261" s="475" t="s">
        <v>5441</v>
      </c>
    </row>
    <row r="1262" spans="1:10" ht="14.25" customHeight="1">
      <c r="A1262" s="570" t="s">
        <v>4036</v>
      </c>
      <c r="B1262" s="571" t="s">
        <v>4037</v>
      </c>
      <c r="C1262" s="572" t="s">
        <v>213</v>
      </c>
      <c r="D1262" s="573">
        <v>1.4990000000000001</v>
      </c>
      <c r="E1262" s="522">
        <v>1.21</v>
      </c>
      <c r="F1262" s="523"/>
      <c r="G1262" s="524" t="s">
        <v>3663</v>
      </c>
      <c r="H1262" s="525" t="s">
        <v>3666</v>
      </c>
      <c r="I1262" s="474"/>
      <c r="J1262" s="475" t="s">
        <v>5442</v>
      </c>
    </row>
    <row r="1263" spans="1:10" ht="14.25" customHeight="1">
      <c r="A1263" s="570" t="s">
        <v>4038</v>
      </c>
      <c r="B1263" s="571" t="s">
        <v>4039</v>
      </c>
      <c r="C1263" s="572" t="s">
        <v>213</v>
      </c>
      <c r="D1263" s="573">
        <v>1.4990000000000001</v>
      </c>
      <c r="E1263" s="522">
        <v>1.21</v>
      </c>
      <c r="F1263" s="523"/>
      <c r="G1263" s="524" t="s">
        <v>3663</v>
      </c>
      <c r="H1263" s="525" t="s">
        <v>3666</v>
      </c>
      <c r="I1263" s="474"/>
      <c r="J1263" s="475" t="s">
        <v>5443</v>
      </c>
    </row>
    <row r="1264" spans="1:10" ht="14.25" customHeight="1">
      <c r="A1264" s="570" t="s">
        <v>4040</v>
      </c>
      <c r="B1264" s="571" t="s">
        <v>4041</v>
      </c>
      <c r="C1264" s="572" t="s">
        <v>213</v>
      </c>
      <c r="D1264" s="573">
        <v>1.4990000000000001</v>
      </c>
      <c r="E1264" s="522">
        <v>1.21</v>
      </c>
      <c r="F1264" s="523"/>
      <c r="G1264" s="524" t="s">
        <v>3663</v>
      </c>
      <c r="H1264" s="525" t="s">
        <v>3666</v>
      </c>
      <c r="I1264" s="474"/>
      <c r="J1264" s="475" t="s">
        <v>5444</v>
      </c>
    </row>
    <row r="1265" spans="1:10" ht="14.25" customHeight="1">
      <c r="A1265" s="570" t="s">
        <v>4042</v>
      </c>
      <c r="B1265" s="571" t="s">
        <v>4043</v>
      </c>
      <c r="C1265" s="572" t="s">
        <v>213</v>
      </c>
      <c r="D1265" s="573">
        <v>1.4990000000000001</v>
      </c>
      <c r="E1265" s="522">
        <v>1.21</v>
      </c>
      <c r="F1265" s="523"/>
      <c r="G1265" s="524" t="s">
        <v>3663</v>
      </c>
      <c r="H1265" s="525" t="s">
        <v>3666</v>
      </c>
      <c r="I1265" s="474"/>
      <c r="J1265" s="475" t="s">
        <v>5445</v>
      </c>
    </row>
    <row r="1266" spans="1:10" ht="14.25" customHeight="1">
      <c r="A1266" s="570" t="s">
        <v>4044</v>
      </c>
      <c r="B1266" s="571" t="s">
        <v>4045</v>
      </c>
      <c r="C1266" s="572" t="s">
        <v>213</v>
      </c>
      <c r="D1266" s="573">
        <v>1.4990000000000001</v>
      </c>
      <c r="E1266" s="522">
        <v>1.21</v>
      </c>
      <c r="F1266" s="523"/>
      <c r="G1266" s="524" t="s">
        <v>3663</v>
      </c>
      <c r="H1266" s="525" t="s">
        <v>3666</v>
      </c>
      <c r="I1266" s="474"/>
      <c r="J1266" s="475" t="s">
        <v>5446</v>
      </c>
    </row>
    <row r="1267" spans="1:10" ht="14.25" customHeight="1">
      <c r="A1267" s="570" t="s">
        <v>4046</v>
      </c>
      <c r="B1267" s="571" t="s">
        <v>4047</v>
      </c>
      <c r="C1267" s="572" t="s">
        <v>213</v>
      </c>
      <c r="D1267" s="573">
        <v>1.4990000000000001</v>
      </c>
      <c r="E1267" s="522">
        <v>1.21</v>
      </c>
      <c r="F1267" s="523"/>
      <c r="G1267" s="524" t="s">
        <v>3663</v>
      </c>
      <c r="H1267" s="525" t="s">
        <v>3666</v>
      </c>
      <c r="I1267" s="474"/>
      <c r="J1267" s="475" t="s">
        <v>5447</v>
      </c>
    </row>
    <row r="1268" spans="1:10" ht="14.25" customHeight="1">
      <c r="A1268" s="570" t="s">
        <v>4048</v>
      </c>
      <c r="B1268" s="571" t="s">
        <v>4049</v>
      </c>
      <c r="C1268" s="572" t="s">
        <v>213</v>
      </c>
      <c r="D1268" s="573">
        <v>1.4990000000000001</v>
      </c>
      <c r="E1268" s="522">
        <v>1.21</v>
      </c>
      <c r="F1268" s="523"/>
      <c r="G1268" s="524" t="s">
        <v>3663</v>
      </c>
      <c r="H1268" s="525" t="s">
        <v>3666</v>
      </c>
      <c r="I1268" s="474"/>
      <c r="J1268" s="475" t="s">
        <v>5448</v>
      </c>
    </row>
    <row r="1269" spans="1:10" ht="14.25" customHeight="1">
      <c r="A1269" s="570" t="s">
        <v>4050</v>
      </c>
      <c r="B1269" s="571" t="s">
        <v>4051</v>
      </c>
      <c r="C1269" s="572" t="s">
        <v>213</v>
      </c>
      <c r="D1269" s="573">
        <v>1.4990000000000001</v>
      </c>
      <c r="E1269" s="522">
        <v>1.21</v>
      </c>
      <c r="F1269" s="523"/>
      <c r="G1269" s="524" t="s">
        <v>3663</v>
      </c>
      <c r="H1269" s="525" t="s">
        <v>3666</v>
      </c>
      <c r="I1269" s="474"/>
      <c r="J1269" s="475" t="s">
        <v>5449</v>
      </c>
    </row>
    <row r="1270" spans="1:10" ht="14.25" customHeight="1">
      <c r="A1270" s="570" t="s">
        <v>4052</v>
      </c>
      <c r="B1270" s="571" t="s">
        <v>4053</v>
      </c>
      <c r="C1270" s="572" t="s">
        <v>213</v>
      </c>
      <c r="D1270" s="573">
        <v>1.4990000000000001</v>
      </c>
      <c r="E1270" s="522">
        <v>1.21</v>
      </c>
      <c r="F1270" s="523"/>
      <c r="G1270" s="524" t="s">
        <v>3663</v>
      </c>
      <c r="H1270" s="525" t="s">
        <v>3666</v>
      </c>
      <c r="I1270" s="474"/>
      <c r="J1270" s="475" t="s">
        <v>5450</v>
      </c>
    </row>
    <row r="1271" spans="1:10" ht="14.25" customHeight="1">
      <c r="A1271" s="570" t="s">
        <v>4054</v>
      </c>
      <c r="B1271" s="571" t="s">
        <v>4055</v>
      </c>
      <c r="C1271" s="572" t="s">
        <v>213</v>
      </c>
      <c r="D1271" s="573">
        <v>1.4990000000000001</v>
      </c>
      <c r="E1271" s="522">
        <v>1.21</v>
      </c>
      <c r="F1271" s="523"/>
      <c r="G1271" s="524" t="s">
        <v>3663</v>
      </c>
      <c r="H1271" s="525" t="s">
        <v>3666</v>
      </c>
      <c r="I1271" s="474"/>
      <c r="J1271" s="475" t="s">
        <v>5451</v>
      </c>
    </row>
    <row r="1272" spans="1:10" ht="14.25" customHeight="1">
      <c r="A1272" s="570" t="s">
        <v>4056</v>
      </c>
      <c r="B1272" s="571" t="s">
        <v>4057</v>
      </c>
      <c r="C1272" s="572" t="s">
        <v>213</v>
      </c>
      <c r="D1272" s="573">
        <v>1.4990000000000001</v>
      </c>
      <c r="E1272" s="522">
        <v>1.21</v>
      </c>
      <c r="F1272" s="523"/>
      <c r="G1272" s="524" t="s">
        <v>3663</v>
      </c>
      <c r="H1272" s="525" t="s">
        <v>3666</v>
      </c>
      <c r="I1272" s="474"/>
      <c r="J1272" s="475" t="s">
        <v>5452</v>
      </c>
    </row>
    <row r="1273" spans="1:10" ht="14.25" customHeight="1">
      <c r="A1273" s="570" t="s">
        <v>4058</v>
      </c>
      <c r="B1273" s="571" t="s">
        <v>4059</v>
      </c>
      <c r="C1273" s="572" t="s">
        <v>213</v>
      </c>
      <c r="D1273" s="573">
        <v>1.4990000000000001</v>
      </c>
      <c r="E1273" s="522">
        <v>1.21</v>
      </c>
      <c r="F1273" s="523"/>
      <c r="G1273" s="524" t="s">
        <v>3663</v>
      </c>
      <c r="H1273" s="525" t="s">
        <v>3666</v>
      </c>
      <c r="I1273" s="474"/>
      <c r="J1273" s="475" t="s">
        <v>5453</v>
      </c>
    </row>
    <row r="1274" spans="1:10" ht="14.25" customHeight="1">
      <c r="A1274" s="520" t="s">
        <v>1986</v>
      </c>
      <c r="B1274" s="521" t="s">
        <v>1987</v>
      </c>
      <c r="C1274" s="520" t="s">
        <v>213</v>
      </c>
      <c r="D1274" s="472">
        <v>7.7919999999999998</v>
      </c>
      <c r="E1274" s="522">
        <v>7.2729999999999997</v>
      </c>
      <c r="F1274" s="523" t="s">
        <v>4166</v>
      </c>
      <c r="G1274" s="524" t="s">
        <v>3663</v>
      </c>
      <c r="H1274" s="525" t="s">
        <v>3666</v>
      </c>
      <c r="I1274" s="474"/>
      <c r="J1274" s="475" t="s">
        <v>5454</v>
      </c>
    </row>
    <row r="1275" spans="1:10" ht="14.25" customHeight="1">
      <c r="A1275" s="520" t="s">
        <v>1988</v>
      </c>
      <c r="B1275" s="521" t="s">
        <v>1989</v>
      </c>
      <c r="C1275" s="520" t="s">
        <v>213</v>
      </c>
      <c r="D1275" s="472">
        <v>2.5049999999999999</v>
      </c>
      <c r="E1275" s="522">
        <v>2.335</v>
      </c>
      <c r="F1275" s="523" t="s">
        <v>4166</v>
      </c>
      <c r="G1275" s="524" t="s">
        <v>3663</v>
      </c>
      <c r="H1275" s="525" t="s">
        <v>3666</v>
      </c>
      <c r="I1275" s="474"/>
      <c r="J1275" s="475" t="s">
        <v>5455</v>
      </c>
    </row>
    <row r="1276" spans="1:10" ht="14.25" customHeight="1">
      <c r="A1276" s="520" t="s">
        <v>1990</v>
      </c>
      <c r="B1276" s="521" t="s">
        <v>1991</v>
      </c>
      <c r="C1276" s="520" t="s">
        <v>213</v>
      </c>
      <c r="D1276" s="472">
        <v>7.7919999999999998</v>
      </c>
      <c r="E1276" s="522">
        <v>7.2729999999999997</v>
      </c>
      <c r="F1276" s="523" t="s">
        <v>4166</v>
      </c>
      <c r="G1276" s="524" t="s">
        <v>3663</v>
      </c>
      <c r="H1276" s="525" t="s">
        <v>3666</v>
      </c>
      <c r="I1276" s="474"/>
      <c r="J1276" s="475" t="s">
        <v>5456</v>
      </c>
    </row>
    <row r="1277" spans="1:10" ht="14.25" customHeight="1">
      <c r="A1277" s="520" t="s">
        <v>1992</v>
      </c>
      <c r="B1277" s="521" t="s">
        <v>1993</v>
      </c>
      <c r="C1277" s="520" t="s">
        <v>213</v>
      </c>
      <c r="D1277" s="472">
        <v>2.5049999999999999</v>
      </c>
      <c r="E1277" s="522">
        <v>2.335</v>
      </c>
      <c r="F1277" s="523" t="s">
        <v>4166</v>
      </c>
      <c r="G1277" s="524" t="s">
        <v>3663</v>
      </c>
      <c r="H1277" s="525" t="s">
        <v>3666</v>
      </c>
      <c r="I1277" s="474"/>
      <c r="J1277" s="475" t="s">
        <v>5457</v>
      </c>
    </row>
    <row r="1278" spans="1:10" ht="14.25" customHeight="1">
      <c r="A1278" s="520" t="s">
        <v>1994</v>
      </c>
      <c r="B1278" s="521" t="s">
        <v>1995</v>
      </c>
      <c r="C1278" s="520" t="s">
        <v>213</v>
      </c>
      <c r="D1278" s="472">
        <v>7.7919999999999998</v>
      </c>
      <c r="E1278" s="522">
        <v>7.2729999999999997</v>
      </c>
      <c r="F1278" s="523" t="s">
        <v>4166</v>
      </c>
      <c r="G1278" s="524" t="s">
        <v>3663</v>
      </c>
      <c r="H1278" s="525" t="s">
        <v>3666</v>
      </c>
      <c r="I1278" s="474"/>
      <c r="J1278" s="475" t="s">
        <v>5458</v>
      </c>
    </row>
    <row r="1279" spans="1:10" ht="14.25" customHeight="1">
      <c r="A1279" s="520" t="s">
        <v>1996</v>
      </c>
      <c r="B1279" s="521" t="s">
        <v>1997</v>
      </c>
      <c r="C1279" s="520" t="s">
        <v>213</v>
      </c>
      <c r="D1279" s="472">
        <v>2.5049999999999999</v>
      </c>
      <c r="E1279" s="522">
        <v>2.335</v>
      </c>
      <c r="F1279" s="523" t="s">
        <v>4166</v>
      </c>
      <c r="G1279" s="524" t="s">
        <v>3663</v>
      </c>
      <c r="H1279" s="525" t="s">
        <v>3666</v>
      </c>
      <c r="I1279" s="474"/>
      <c r="J1279" s="475" t="s">
        <v>5459</v>
      </c>
    </row>
    <row r="1280" spans="1:10" ht="14.25" customHeight="1">
      <c r="A1280" s="520" t="s">
        <v>1998</v>
      </c>
      <c r="B1280" s="521" t="s">
        <v>1999</v>
      </c>
      <c r="C1280" s="520" t="s">
        <v>213</v>
      </c>
      <c r="D1280" s="472">
        <v>7.7919999999999998</v>
      </c>
      <c r="E1280" s="522">
        <v>7.2729999999999997</v>
      </c>
      <c r="F1280" s="523" t="s">
        <v>4166</v>
      </c>
      <c r="G1280" s="524" t="s">
        <v>3663</v>
      </c>
      <c r="H1280" s="525" t="s">
        <v>3666</v>
      </c>
      <c r="I1280" s="474"/>
      <c r="J1280" s="475" t="s">
        <v>5460</v>
      </c>
    </row>
    <row r="1281" spans="1:10" ht="14.25" customHeight="1">
      <c r="A1281" s="520" t="s">
        <v>2000</v>
      </c>
      <c r="B1281" s="521" t="s">
        <v>2001</v>
      </c>
      <c r="C1281" s="520" t="s">
        <v>213</v>
      </c>
      <c r="D1281" s="472">
        <v>2.5049999999999999</v>
      </c>
      <c r="E1281" s="522">
        <v>2.335</v>
      </c>
      <c r="F1281" s="523" t="s">
        <v>4166</v>
      </c>
      <c r="G1281" s="524" t="s">
        <v>3663</v>
      </c>
      <c r="H1281" s="525" t="s">
        <v>3666</v>
      </c>
      <c r="I1281" s="474"/>
      <c r="J1281" s="475" t="s">
        <v>5461</v>
      </c>
    </row>
    <row r="1282" spans="1:10" ht="14.25" customHeight="1">
      <c r="A1282" s="520" t="s">
        <v>2002</v>
      </c>
      <c r="B1282" s="521" t="s">
        <v>2003</v>
      </c>
      <c r="C1282" s="520" t="s">
        <v>213</v>
      </c>
      <c r="D1282" s="472">
        <v>7.7919999999999998</v>
      </c>
      <c r="E1282" s="522">
        <v>7.2729999999999997</v>
      </c>
      <c r="F1282" s="523" t="s">
        <v>4166</v>
      </c>
      <c r="G1282" s="524" t="s">
        <v>3663</v>
      </c>
      <c r="H1282" s="525" t="s">
        <v>3666</v>
      </c>
      <c r="I1282" s="474"/>
      <c r="J1282" s="475" t="s">
        <v>5462</v>
      </c>
    </row>
    <row r="1283" spans="1:10" ht="14.25" customHeight="1">
      <c r="A1283" s="520" t="s">
        <v>2004</v>
      </c>
      <c r="B1283" s="521" t="s">
        <v>2005</v>
      </c>
      <c r="C1283" s="520" t="s">
        <v>213</v>
      </c>
      <c r="D1283" s="472">
        <v>2.5049999999999999</v>
      </c>
      <c r="E1283" s="522">
        <v>2.335</v>
      </c>
      <c r="F1283" s="523" t="s">
        <v>4166</v>
      </c>
      <c r="G1283" s="524" t="s">
        <v>3663</v>
      </c>
      <c r="H1283" s="525" t="s">
        <v>3666</v>
      </c>
      <c r="I1283" s="474"/>
      <c r="J1283" s="475" t="s">
        <v>5463</v>
      </c>
    </row>
    <row r="1284" spans="1:10" ht="14.25" customHeight="1">
      <c r="A1284" s="520" t="s">
        <v>2006</v>
      </c>
      <c r="B1284" s="521" t="s">
        <v>2007</v>
      </c>
      <c r="C1284" s="520" t="s">
        <v>213</v>
      </c>
      <c r="D1284" s="472">
        <v>10.074999999999999</v>
      </c>
      <c r="E1284" s="522">
        <v>9.3930000000000007</v>
      </c>
      <c r="F1284" s="523" t="s">
        <v>4166</v>
      </c>
      <c r="G1284" s="524" t="s">
        <v>3663</v>
      </c>
      <c r="H1284" s="525" t="s">
        <v>3666</v>
      </c>
      <c r="I1284" s="474"/>
      <c r="J1284" s="475" t="s">
        <v>5464</v>
      </c>
    </row>
    <row r="1285" spans="1:10" ht="14.25" customHeight="1">
      <c r="A1285" s="520" t="s">
        <v>2008</v>
      </c>
      <c r="B1285" s="521" t="s">
        <v>2009</v>
      </c>
      <c r="C1285" s="520" t="s">
        <v>213</v>
      </c>
      <c r="D1285" s="472">
        <v>2.5049999999999999</v>
      </c>
      <c r="E1285" s="522">
        <v>2.335</v>
      </c>
      <c r="F1285" s="523" t="s">
        <v>4166</v>
      </c>
      <c r="G1285" s="524" t="s">
        <v>3663</v>
      </c>
      <c r="H1285" s="525" t="s">
        <v>3666</v>
      </c>
      <c r="I1285" s="474"/>
      <c r="J1285" s="475" t="s">
        <v>5465</v>
      </c>
    </row>
    <row r="1286" spans="1:10" ht="14.25" customHeight="1">
      <c r="A1286" s="520" t="s">
        <v>2010</v>
      </c>
      <c r="B1286" s="521" t="s">
        <v>2011</v>
      </c>
      <c r="C1286" s="520" t="s">
        <v>213</v>
      </c>
      <c r="D1286" s="472">
        <v>10.074999999999999</v>
      </c>
      <c r="E1286" s="522">
        <v>9.3930000000000007</v>
      </c>
      <c r="F1286" s="523" t="s">
        <v>4166</v>
      </c>
      <c r="G1286" s="524" t="s">
        <v>3663</v>
      </c>
      <c r="H1286" s="525" t="s">
        <v>3666</v>
      </c>
      <c r="I1286" s="474"/>
      <c r="J1286" s="475" t="s">
        <v>5466</v>
      </c>
    </row>
    <row r="1287" spans="1:10" ht="14.25" customHeight="1">
      <c r="A1287" s="520" t="s">
        <v>2012</v>
      </c>
      <c r="B1287" s="521" t="s">
        <v>2013</v>
      </c>
      <c r="C1287" s="520" t="s">
        <v>213</v>
      </c>
      <c r="D1287" s="472">
        <v>2.5049999999999999</v>
      </c>
      <c r="E1287" s="522">
        <v>2.335</v>
      </c>
      <c r="F1287" s="523" t="s">
        <v>4166</v>
      </c>
      <c r="G1287" s="524" t="s">
        <v>3663</v>
      </c>
      <c r="H1287" s="525" t="s">
        <v>3666</v>
      </c>
      <c r="I1287" s="474"/>
      <c r="J1287" s="475" t="s">
        <v>5467</v>
      </c>
    </row>
    <row r="1288" spans="1:10" ht="14.25" customHeight="1">
      <c r="A1288" s="520" t="s">
        <v>2014</v>
      </c>
      <c r="B1288" s="521" t="s">
        <v>2015</v>
      </c>
      <c r="C1288" s="520" t="s">
        <v>213</v>
      </c>
      <c r="D1288" s="472">
        <v>10.074999999999999</v>
      </c>
      <c r="E1288" s="522">
        <v>9.3930000000000007</v>
      </c>
      <c r="F1288" s="523" t="s">
        <v>4166</v>
      </c>
      <c r="G1288" s="524" t="s">
        <v>3663</v>
      </c>
      <c r="H1288" s="525" t="s">
        <v>3666</v>
      </c>
      <c r="I1288" s="474"/>
      <c r="J1288" s="475" t="s">
        <v>5468</v>
      </c>
    </row>
    <row r="1289" spans="1:10" ht="14.25" customHeight="1">
      <c r="A1289" s="520" t="s">
        <v>2016</v>
      </c>
      <c r="B1289" s="521" t="s">
        <v>2017</v>
      </c>
      <c r="C1289" s="520" t="s">
        <v>213</v>
      </c>
      <c r="D1289" s="472">
        <v>2.5049999999999999</v>
      </c>
      <c r="E1289" s="522">
        <v>2.335</v>
      </c>
      <c r="F1289" s="523" t="s">
        <v>4166</v>
      </c>
      <c r="G1289" s="524" t="s">
        <v>3663</v>
      </c>
      <c r="H1289" s="525" t="s">
        <v>3666</v>
      </c>
      <c r="I1289" s="474"/>
      <c r="J1289" s="475" t="s">
        <v>5469</v>
      </c>
    </row>
    <row r="1290" spans="1:10" ht="14.25" customHeight="1">
      <c r="A1290" s="520" t="s">
        <v>2018</v>
      </c>
      <c r="B1290" s="521" t="s">
        <v>2019</v>
      </c>
      <c r="C1290" s="520" t="s">
        <v>213</v>
      </c>
      <c r="D1290" s="472">
        <v>10.074999999999999</v>
      </c>
      <c r="E1290" s="522">
        <v>9.3930000000000007</v>
      </c>
      <c r="F1290" s="523" t="s">
        <v>4166</v>
      </c>
      <c r="G1290" s="524" t="s">
        <v>3663</v>
      </c>
      <c r="H1290" s="525" t="s">
        <v>3666</v>
      </c>
      <c r="I1290" s="474"/>
      <c r="J1290" s="475" t="s">
        <v>5470</v>
      </c>
    </row>
    <row r="1291" spans="1:10" ht="14.25" customHeight="1">
      <c r="A1291" s="520" t="s">
        <v>2020</v>
      </c>
      <c r="B1291" s="521" t="s">
        <v>2021</v>
      </c>
      <c r="C1291" s="520" t="s">
        <v>213</v>
      </c>
      <c r="D1291" s="472">
        <v>2.5049999999999999</v>
      </c>
      <c r="E1291" s="522">
        <v>2.335</v>
      </c>
      <c r="F1291" s="523" t="s">
        <v>4166</v>
      </c>
      <c r="G1291" s="524" t="s">
        <v>3663</v>
      </c>
      <c r="H1291" s="525" t="s">
        <v>3666</v>
      </c>
      <c r="I1291" s="474"/>
      <c r="J1291" s="475" t="s">
        <v>5471</v>
      </c>
    </row>
    <row r="1292" spans="1:10" ht="14.25" customHeight="1">
      <c r="A1292" s="520" t="s">
        <v>2022</v>
      </c>
      <c r="B1292" s="521" t="s">
        <v>2023</v>
      </c>
      <c r="C1292" s="520" t="s">
        <v>213</v>
      </c>
      <c r="D1292" s="472">
        <v>10.074999999999999</v>
      </c>
      <c r="E1292" s="522">
        <v>9.3930000000000007</v>
      </c>
      <c r="F1292" s="523" t="s">
        <v>4166</v>
      </c>
      <c r="G1292" s="524" t="s">
        <v>3663</v>
      </c>
      <c r="H1292" s="525" t="s">
        <v>3666</v>
      </c>
      <c r="I1292" s="474"/>
      <c r="J1292" s="475" t="s">
        <v>5472</v>
      </c>
    </row>
    <row r="1293" spans="1:10" ht="14.25" customHeight="1">
      <c r="A1293" s="520" t="s">
        <v>2024</v>
      </c>
      <c r="B1293" s="521" t="s">
        <v>2025</v>
      </c>
      <c r="C1293" s="520" t="s">
        <v>213</v>
      </c>
      <c r="D1293" s="472">
        <v>2.5049999999999999</v>
      </c>
      <c r="E1293" s="522">
        <v>2.335</v>
      </c>
      <c r="F1293" s="523" t="s">
        <v>4166</v>
      </c>
      <c r="G1293" s="524" t="s">
        <v>3663</v>
      </c>
      <c r="H1293" s="525" t="s">
        <v>3666</v>
      </c>
      <c r="I1293" s="474"/>
      <c r="J1293" s="475" t="s">
        <v>5473</v>
      </c>
    </row>
    <row r="1294" spans="1:10" ht="14.25" customHeight="1">
      <c r="A1294" s="520" t="s">
        <v>2026</v>
      </c>
      <c r="B1294" s="521" t="s">
        <v>2027</v>
      </c>
      <c r="C1294" s="520" t="s">
        <v>213</v>
      </c>
      <c r="D1294" s="472">
        <v>13.054</v>
      </c>
      <c r="E1294" s="522">
        <v>12.170999999999999</v>
      </c>
      <c r="F1294" s="523" t="s">
        <v>4166</v>
      </c>
      <c r="G1294" s="524" t="s">
        <v>3663</v>
      </c>
      <c r="H1294" s="525" t="s">
        <v>3666</v>
      </c>
      <c r="I1294" s="474"/>
      <c r="J1294" s="475" t="s">
        <v>5474</v>
      </c>
    </row>
    <row r="1295" spans="1:10" ht="14.25" customHeight="1">
      <c r="A1295" s="520" t="s">
        <v>2028</v>
      </c>
      <c r="B1295" s="521" t="s">
        <v>2029</v>
      </c>
      <c r="C1295" s="520" t="s">
        <v>213</v>
      </c>
      <c r="D1295" s="472">
        <v>2.226</v>
      </c>
      <c r="E1295" s="522">
        <v>2.0750000000000002</v>
      </c>
      <c r="F1295" s="523" t="s">
        <v>4166</v>
      </c>
      <c r="G1295" s="524" t="s">
        <v>3663</v>
      </c>
      <c r="H1295" s="525" t="s">
        <v>3666</v>
      </c>
      <c r="I1295" s="474"/>
      <c r="J1295" s="475" t="s">
        <v>5475</v>
      </c>
    </row>
    <row r="1296" spans="1:10" ht="14.25" customHeight="1">
      <c r="A1296" s="520" t="s">
        <v>2030</v>
      </c>
      <c r="B1296" s="521" t="s">
        <v>2031</v>
      </c>
      <c r="C1296" s="520" t="s">
        <v>213</v>
      </c>
      <c r="D1296" s="472">
        <v>17.937999999999999</v>
      </c>
      <c r="E1296" s="522">
        <v>16.722999999999999</v>
      </c>
      <c r="F1296" s="523" t="s">
        <v>4166</v>
      </c>
      <c r="G1296" s="524" t="s">
        <v>3663</v>
      </c>
      <c r="H1296" s="525" t="s">
        <v>3666</v>
      </c>
      <c r="I1296" s="474"/>
      <c r="J1296" s="475" t="s">
        <v>5476</v>
      </c>
    </row>
    <row r="1297" spans="1:10" ht="14.25" customHeight="1">
      <c r="A1297" s="520" t="s">
        <v>2032</v>
      </c>
      <c r="B1297" s="521" t="s">
        <v>2033</v>
      </c>
      <c r="C1297" s="520" t="s">
        <v>213</v>
      </c>
      <c r="D1297" s="472">
        <v>2.226</v>
      </c>
      <c r="E1297" s="522">
        <v>2.0750000000000002</v>
      </c>
      <c r="F1297" s="523" t="s">
        <v>4166</v>
      </c>
      <c r="G1297" s="524" t="s">
        <v>3663</v>
      </c>
      <c r="H1297" s="525" t="s">
        <v>3666</v>
      </c>
      <c r="I1297" s="474"/>
      <c r="J1297" s="475" t="s">
        <v>5477</v>
      </c>
    </row>
    <row r="1298" spans="1:10" ht="14.25" customHeight="1">
      <c r="A1298" s="520" t="s">
        <v>2034</v>
      </c>
      <c r="B1298" s="521" t="s">
        <v>2035</v>
      </c>
      <c r="C1298" s="520" t="s">
        <v>213</v>
      </c>
      <c r="D1298" s="472">
        <v>13.054</v>
      </c>
      <c r="E1298" s="522">
        <v>12.170999999999999</v>
      </c>
      <c r="F1298" s="523" t="s">
        <v>4166</v>
      </c>
      <c r="G1298" s="524" t="s">
        <v>3663</v>
      </c>
      <c r="H1298" s="525" t="s">
        <v>3666</v>
      </c>
      <c r="I1298" s="474"/>
      <c r="J1298" s="475" t="s">
        <v>5478</v>
      </c>
    </row>
    <row r="1299" spans="1:10" ht="14.25" customHeight="1">
      <c r="A1299" s="520" t="s">
        <v>2036</v>
      </c>
      <c r="B1299" s="521" t="s">
        <v>2037</v>
      </c>
      <c r="C1299" s="520" t="s">
        <v>213</v>
      </c>
      <c r="D1299" s="472">
        <v>17.937999999999999</v>
      </c>
      <c r="E1299" s="522">
        <v>16.722999999999999</v>
      </c>
      <c r="F1299" s="523" t="s">
        <v>4166</v>
      </c>
      <c r="G1299" s="524" t="s">
        <v>3663</v>
      </c>
      <c r="H1299" s="525" t="s">
        <v>3666</v>
      </c>
      <c r="I1299" s="474"/>
      <c r="J1299" s="475" t="s">
        <v>5479</v>
      </c>
    </row>
    <row r="1300" spans="1:10" ht="14.25" customHeight="1">
      <c r="A1300" s="520" t="s">
        <v>2038</v>
      </c>
      <c r="B1300" s="521" t="s">
        <v>2039</v>
      </c>
      <c r="C1300" s="520" t="s">
        <v>213</v>
      </c>
      <c r="D1300" s="472">
        <v>2.7679999999999998</v>
      </c>
      <c r="E1300" s="522">
        <v>2.5790000000000002</v>
      </c>
      <c r="F1300" s="523">
        <v>10</v>
      </c>
      <c r="G1300" s="524" t="s">
        <v>3663</v>
      </c>
      <c r="H1300" s="525" t="s">
        <v>3666</v>
      </c>
      <c r="I1300" s="474"/>
      <c r="J1300" s="475" t="s">
        <v>5480</v>
      </c>
    </row>
    <row r="1301" spans="1:10" ht="14.25" customHeight="1">
      <c r="A1301" s="520" t="s">
        <v>2040</v>
      </c>
      <c r="B1301" s="521" t="s">
        <v>2041</v>
      </c>
      <c r="C1301" s="520" t="s">
        <v>213</v>
      </c>
      <c r="D1301" s="472">
        <v>2.7679999999999998</v>
      </c>
      <c r="E1301" s="522">
        <v>2.5790000000000002</v>
      </c>
      <c r="F1301" s="523" t="s">
        <v>4166</v>
      </c>
      <c r="G1301" s="524" t="s">
        <v>3663</v>
      </c>
      <c r="H1301" s="525" t="s">
        <v>3666</v>
      </c>
      <c r="I1301" s="474"/>
      <c r="J1301" s="475" t="s">
        <v>5481</v>
      </c>
    </row>
    <row r="1302" spans="1:10" ht="14.25" customHeight="1">
      <c r="A1302" s="520" t="s">
        <v>2042</v>
      </c>
      <c r="B1302" s="521" t="s">
        <v>2043</v>
      </c>
      <c r="C1302" s="520" t="s">
        <v>213</v>
      </c>
      <c r="D1302" s="472">
        <v>9.9220000000000006</v>
      </c>
      <c r="E1302" s="522">
        <v>9.2479999999999993</v>
      </c>
      <c r="F1302" s="523" t="s">
        <v>4166</v>
      </c>
      <c r="G1302" s="524" t="s">
        <v>3663</v>
      </c>
      <c r="H1302" s="525" t="s">
        <v>3666</v>
      </c>
      <c r="I1302" s="474"/>
      <c r="J1302" s="475" t="s">
        <v>5482</v>
      </c>
    </row>
    <row r="1303" spans="1:10" ht="14.25" customHeight="1">
      <c r="A1303" s="520" t="s">
        <v>2044</v>
      </c>
      <c r="B1303" s="521" t="s">
        <v>2045</v>
      </c>
      <c r="C1303" s="520" t="s">
        <v>213</v>
      </c>
      <c r="D1303" s="472">
        <v>4.7050000000000001</v>
      </c>
      <c r="E1303" s="522">
        <v>4.4029999999999996</v>
      </c>
      <c r="F1303" s="523" t="s">
        <v>4166</v>
      </c>
      <c r="G1303" s="524" t="s">
        <v>3663</v>
      </c>
      <c r="H1303" s="525" t="s">
        <v>3666</v>
      </c>
      <c r="I1303" s="474"/>
      <c r="J1303" s="475" t="s">
        <v>5483</v>
      </c>
    </row>
    <row r="1304" spans="1:10" ht="14.25" customHeight="1">
      <c r="A1304" s="528" t="s">
        <v>2046</v>
      </c>
      <c r="B1304" s="529" t="s">
        <v>2047</v>
      </c>
      <c r="C1304" s="528" t="s">
        <v>213</v>
      </c>
      <c r="D1304" s="472">
        <v>11.601000000000001</v>
      </c>
      <c r="E1304" s="522">
        <v>10.82</v>
      </c>
      <c r="F1304" s="523" t="s">
        <v>4166</v>
      </c>
      <c r="G1304" s="524" t="s">
        <v>3663</v>
      </c>
      <c r="H1304" s="525" t="s">
        <v>3666</v>
      </c>
      <c r="I1304" s="474"/>
      <c r="J1304" s="475" t="s">
        <v>5484</v>
      </c>
    </row>
    <row r="1305" spans="1:10" ht="14.25" customHeight="1">
      <c r="A1305" s="528" t="s">
        <v>2048</v>
      </c>
      <c r="B1305" s="529" t="s">
        <v>2049</v>
      </c>
      <c r="C1305" s="528" t="s">
        <v>213</v>
      </c>
      <c r="D1305" s="472">
        <v>4.7050000000000001</v>
      </c>
      <c r="E1305" s="522">
        <v>4.4029999999999996</v>
      </c>
      <c r="F1305" s="523" t="s">
        <v>4166</v>
      </c>
      <c r="G1305" s="524" t="s">
        <v>3663</v>
      </c>
      <c r="H1305" s="525" t="s">
        <v>3666</v>
      </c>
      <c r="I1305" s="474"/>
      <c r="J1305" s="475" t="s">
        <v>5485</v>
      </c>
    </row>
    <row r="1306" spans="1:10" ht="14.25" customHeight="1">
      <c r="A1306" s="520" t="s">
        <v>2050</v>
      </c>
      <c r="B1306" s="521" t="s">
        <v>2051</v>
      </c>
      <c r="C1306" s="520" t="s">
        <v>213</v>
      </c>
      <c r="D1306" s="472">
        <v>9.9109999999999996</v>
      </c>
      <c r="E1306" s="522">
        <v>9.4339999999999993</v>
      </c>
      <c r="F1306" s="523" t="s">
        <v>4166</v>
      </c>
      <c r="G1306" s="524" t="s">
        <v>3663</v>
      </c>
      <c r="H1306" s="525" t="s">
        <v>3666</v>
      </c>
      <c r="I1306" s="474"/>
      <c r="J1306" s="475" t="s">
        <v>5486</v>
      </c>
    </row>
    <row r="1307" spans="1:10" ht="14.25" customHeight="1">
      <c r="A1307" s="520" t="s">
        <v>2052</v>
      </c>
      <c r="B1307" s="521" t="s">
        <v>2053</v>
      </c>
      <c r="C1307" s="520" t="s">
        <v>213</v>
      </c>
      <c r="D1307" s="472">
        <v>12.84</v>
      </c>
      <c r="E1307" s="522">
        <v>12.215999999999999</v>
      </c>
      <c r="F1307" s="523" t="s">
        <v>4166</v>
      </c>
      <c r="G1307" s="524" t="s">
        <v>3663</v>
      </c>
      <c r="H1307" s="525" t="s">
        <v>3666</v>
      </c>
      <c r="I1307" s="474"/>
      <c r="J1307" s="475" t="s">
        <v>5487</v>
      </c>
    </row>
    <row r="1308" spans="1:10" ht="14.25" customHeight="1">
      <c r="A1308" s="520" t="s">
        <v>2054</v>
      </c>
      <c r="B1308" s="521" t="s">
        <v>2055</v>
      </c>
      <c r="C1308" s="520" t="s">
        <v>213</v>
      </c>
      <c r="D1308" s="472">
        <v>12.84</v>
      </c>
      <c r="E1308" s="522">
        <v>12.215999999999999</v>
      </c>
      <c r="F1308" s="523" t="s">
        <v>4166</v>
      </c>
      <c r="G1308" s="524" t="s">
        <v>3663</v>
      </c>
      <c r="H1308" s="525" t="s">
        <v>3666</v>
      </c>
      <c r="I1308" s="474"/>
      <c r="J1308" s="475" t="s">
        <v>5488</v>
      </c>
    </row>
    <row r="1309" spans="1:10" ht="14.25" customHeight="1">
      <c r="A1309" s="520" t="s">
        <v>2056</v>
      </c>
      <c r="B1309" s="521" t="s">
        <v>2057</v>
      </c>
      <c r="C1309" s="520" t="s">
        <v>213</v>
      </c>
      <c r="D1309" s="472">
        <v>9.9220000000000006</v>
      </c>
      <c r="E1309" s="522">
        <v>9.4369999999999994</v>
      </c>
      <c r="F1309" s="523">
        <v>31</v>
      </c>
      <c r="G1309" s="524" t="s">
        <v>3663</v>
      </c>
      <c r="H1309" s="525" t="s">
        <v>3666</v>
      </c>
      <c r="I1309" s="474"/>
      <c r="J1309" s="475" t="s">
        <v>5489</v>
      </c>
    </row>
    <row r="1310" spans="1:10" ht="14.25" customHeight="1">
      <c r="A1310" s="520" t="s">
        <v>2058</v>
      </c>
      <c r="B1310" s="521" t="s">
        <v>2059</v>
      </c>
      <c r="C1310" s="520" t="s">
        <v>213</v>
      </c>
      <c r="D1310" s="472">
        <v>4.7050000000000001</v>
      </c>
      <c r="E1310" s="522">
        <v>4.4029999999999996</v>
      </c>
      <c r="F1310" s="523" t="s">
        <v>4166</v>
      </c>
      <c r="G1310" s="524" t="s">
        <v>3663</v>
      </c>
      <c r="H1310" s="525" t="s">
        <v>3666</v>
      </c>
      <c r="I1310" s="474"/>
      <c r="J1310" s="475" t="s">
        <v>5490</v>
      </c>
    </row>
    <row r="1311" spans="1:10" ht="14.25" customHeight="1">
      <c r="A1311" s="528" t="s">
        <v>2060</v>
      </c>
      <c r="B1311" s="529" t="s">
        <v>2061</v>
      </c>
      <c r="C1311" s="528" t="s">
        <v>213</v>
      </c>
      <c r="D1311" s="472">
        <v>11.601000000000001</v>
      </c>
      <c r="E1311" s="522">
        <v>11.01</v>
      </c>
      <c r="F1311" s="523" t="s">
        <v>4166</v>
      </c>
      <c r="G1311" s="524" t="s">
        <v>3663</v>
      </c>
      <c r="H1311" s="525" t="s">
        <v>3666</v>
      </c>
      <c r="I1311" s="474"/>
      <c r="J1311" s="475" t="s">
        <v>5491</v>
      </c>
    </row>
    <row r="1312" spans="1:10" ht="14.25" customHeight="1">
      <c r="A1312" s="528" t="s">
        <v>2062</v>
      </c>
      <c r="B1312" s="529" t="s">
        <v>2063</v>
      </c>
      <c r="C1312" s="528" t="s">
        <v>213</v>
      </c>
      <c r="D1312" s="472">
        <v>4.7050000000000001</v>
      </c>
      <c r="E1312" s="522">
        <v>4.4029999999999996</v>
      </c>
      <c r="F1312" s="523" t="s">
        <v>4166</v>
      </c>
      <c r="G1312" s="524" t="s">
        <v>3663</v>
      </c>
      <c r="H1312" s="525" t="s">
        <v>3666</v>
      </c>
      <c r="I1312" s="474"/>
      <c r="J1312" s="475" t="s">
        <v>5492</v>
      </c>
    </row>
    <row r="1313" spans="1:10" ht="14.25" customHeight="1">
      <c r="A1313" s="520" t="s">
        <v>2064</v>
      </c>
      <c r="B1313" s="521" t="s">
        <v>2065</v>
      </c>
      <c r="C1313" s="520" t="s">
        <v>213</v>
      </c>
      <c r="D1313" s="472">
        <v>9.9220000000000006</v>
      </c>
      <c r="E1313" s="522">
        <v>9.4369999999999994</v>
      </c>
      <c r="F1313" s="523">
        <v>31</v>
      </c>
      <c r="G1313" s="524" t="s">
        <v>3663</v>
      </c>
      <c r="H1313" s="525" t="s">
        <v>3666</v>
      </c>
      <c r="I1313" s="474"/>
      <c r="J1313" s="475" t="s">
        <v>5493</v>
      </c>
    </row>
    <row r="1314" spans="1:10" ht="14.25" customHeight="1">
      <c r="A1314" s="520" t="s">
        <v>2066</v>
      </c>
      <c r="B1314" s="521" t="s">
        <v>2067</v>
      </c>
      <c r="C1314" s="520" t="s">
        <v>213</v>
      </c>
      <c r="D1314" s="472">
        <v>12.837</v>
      </c>
      <c r="E1314" s="522">
        <v>12.215999999999999</v>
      </c>
      <c r="F1314" s="523" t="s">
        <v>4166</v>
      </c>
      <c r="G1314" s="524" t="s">
        <v>3663</v>
      </c>
      <c r="H1314" s="525" t="s">
        <v>3666</v>
      </c>
      <c r="I1314" s="474"/>
      <c r="J1314" s="475" t="s">
        <v>5494</v>
      </c>
    </row>
    <row r="1315" spans="1:10" ht="14.25" customHeight="1">
      <c r="A1315" s="520" t="s">
        <v>2068</v>
      </c>
      <c r="B1315" s="521" t="s">
        <v>2069</v>
      </c>
      <c r="C1315" s="520" t="s">
        <v>213</v>
      </c>
      <c r="D1315" s="472">
        <v>12.837</v>
      </c>
      <c r="E1315" s="522">
        <v>12.215999999999999</v>
      </c>
      <c r="F1315" s="523" t="s">
        <v>4166</v>
      </c>
      <c r="G1315" s="524" t="s">
        <v>3663</v>
      </c>
      <c r="H1315" s="525" t="s">
        <v>3666</v>
      </c>
      <c r="I1315" s="474"/>
      <c r="J1315" s="475" t="s">
        <v>5495</v>
      </c>
    </row>
    <row r="1316" spans="1:10" ht="14.25" customHeight="1">
      <c r="A1316" s="520" t="s">
        <v>2070</v>
      </c>
      <c r="B1316" s="521" t="s">
        <v>2071</v>
      </c>
      <c r="C1316" s="520" t="s">
        <v>213</v>
      </c>
      <c r="D1316" s="472">
        <v>13.414999999999999</v>
      </c>
      <c r="E1316" s="522">
        <v>12.544</v>
      </c>
      <c r="F1316" s="523">
        <v>33.200000000000003</v>
      </c>
      <c r="G1316" s="524" t="s">
        <v>3663</v>
      </c>
      <c r="H1316" s="525" t="s">
        <v>3666</v>
      </c>
      <c r="I1316" s="474"/>
      <c r="J1316" s="475" t="s">
        <v>5496</v>
      </c>
    </row>
    <row r="1317" spans="1:10" ht="14.25" customHeight="1">
      <c r="A1317" s="520" t="s">
        <v>2072</v>
      </c>
      <c r="B1317" s="521" t="s">
        <v>2073</v>
      </c>
      <c r="C1317" s="520" t="s">
        <v>213</v>
      </c>
      <c r="D1317" s="472">
        <v>3.246</v>
      </c>
      <c r="E1317" s="522">
        <v>2.9969999999999999</v>
      </c>
      <c r="F1317" s="523" t="s">
        <v>4166</v>
      </c>
      <c r="G1317" s="524" t="s">
        <v>3663</v>
      </c>
      <c r="H1317" s="525" t="s">
        <v>3666</v>
      </c>
      <c r="I1317" s="474"/>
      <c r="J1317" s="475" t="s">
        <v>5497</v>
      </c>
    </row>
    <row r="1318" spans="1:10" ht="14.25" customHeight="1">
      <c r="A1318" s="528" t="s">
        <v>2074</v>
      </c>
      <c r="B1318" s="529" t="s">
        <v>2075</v>
      </c>
      <c r="C1318" s="528" t="s">
        <v>213</v>
      </c>
      <c r="D1318" s="472">
        <v>15.093999999999999</v>
      </c>
      <c r="E1318" s="522">
        <v>14.116</v>
      </c>
      <c r="F1318" s="523" t="s">
        <v>4166</v>
      </c>
      <c r="G1318" s="524" t="s">
        <v>3663</v>
      </c>
      <c r="H1318" s="525" t="s">
        <v>3666</v>
      </c>
      <c r="I1318" s="474"/>
      <c r="J1318" s="475" t="s">
        <v>5498</v>
      </c>
    </row>
    <row r="1319" spans="1:10" ht="14.25" customHeight="1">
      <c r="A1319" s="528" t="s">
        <v>2076</v>
      </c>
      <c r="B1319" s="529" t="s">
        <v>2077</v>
      </c>
      <c r="C1319" s="528" t="s">
        <v>213</v>
      </c>
      <c r="D1319" s="472">
        <v>8.2040000000000006</v>
      </c>
      <c r="E1319" s="522">
        <v>7.6929999999999996</v>
      </c>
      <c r="F1319" s="523">
        <v>19.399999999999999</v>
      </c>
      <c r="G1319" s="524" t="s">
        <v>3663</v>
      </c>
      <c r="H1319" s="525" t="s">
        <v>3666</v>
      </c>
      <c r="I1319" s="474"/>
      <c r="J1319" s="475" t="s">
        <v>5499</v>
      </c>
    </row>
    <row r="1320" spans="1:10" ht="14.25" customHeight="1">
      <c r="A1320" s="520" t="s">
        <v>2078</v>
      </c>
      <c r="B1320" s="521" t="s">
        <v>2079</v>
      </c>
      <c r="C1320" s="520" t="s">
        <v>213</v>
      </c>
      <c r="D1320" s="472">
        <v>13.414999999999999</v>
      </c>
      <c r="E1320" s="522">
        <v>12.544</v>
      </c>
      <c r="F1320" s="523">
        <v>32.6</v>
      </c>
      <c r="G1320" s="524" t="s">
        <v>3663</v>
      </c>
      <c r="H1320" s="525" t="s">
        <v>3666</v>
      </c>
      <c r="I1320" s="474"/>
      <c r="J1320" s="475" t="s">
        <v>5500</v>
      </c>
    </row>
    <row r="1321" spans="1:10" ht="14.25" customHeight="1">
      <c r="A1321" s="520" t="s">
        <v>2080</v>
      </c>
      <c r="B1321" s="521" t="s">
        <v>2081</v>
      </c>
      <c r="C1321" s="520" t="s">
        <v>213</v>
      </c>
      <c r="D1321" s="472">
        <v>17.89</v>
      </c>
      <c r="E1321" s="522">
        <v>17.021999999999998</v>
      </c>
      <c r="F1321" s="523" t="s">
        <v>4166</v>
      </c>
      <c r="G1321" s="524" t="s">
        <v>3663</v>
      </c>
      <c r="H1321" s="525" t="s">
        <v>3666</v>
      </c>
      <c r="I1321" s="474"/>
      <c r="J1321" s="475" t="s">
        <v>5501</v>
      </c>
    </row>
    <row r="1322" spans="1:10" ht="14.25" customHeight="1">
      <c r="A1322" s="520" t="s">
        <v>2082</v>
      </c>
      <c r="B1322" s="521" t="s">
        <v>2083</v>
      </c>
      <c r="C1322" s="520" t="s">
        <v>213</v>
      </c>
      <c r="D1322" s="472">
        <v>17.89</v>
      </c>
      <c r="E1322" s="522">
        <v>17.021999999999998</v>
      </c>
      <c r="F1322" s="523" t="s">
        <v>4166</v>
      </c>
      <c r="G1322" s="524" t="s">
        <v>3663</v>
      </c>
      <c r="H1322" s="525" t="s">
        <v>3666</v>
      </c>
      <c r="I1322" s="474"/>
      <c r="J1322" s="475" t="s">
        <v>5502</v>
      </c>
    </row>
    <row r="1323" spans="1:10" ht="14.25" customHeight="1">
      <c r="A1323" s="559" t="s">
        <v>3373</v>
      </c>
      <c r="B1323" s="560" t="s">
        <v>3374</v>
      </c>
      <c r="C1323" s="561" t="s">
        <v>213</v>
      </c>
      <c r="D1323" s="472">
        <v>19.838999999999999</v>
      </c>
      <c r="E1323" s="522">
        <v>18.654</v>
      </c>
      <c r="F1323" s="523" t="s">
        <v>4166</v>
      </c>
      <c r="G1323" s="524" t="s">
        <v>3663</v>
      </c>
      <c r="H1323" s="525" t="s">
        <v>3666</v>
      </c>
      <c r="I1323" s="474"/>
      <c r="J1323" s="475" t="s">
        <v>5503</v>
      </c>
    </row>
    <row r="1324" spans="1:10" ht="14.25" customHeight="1">
      <c r="A1324" s="559" t="s">
        <v>3375</v>
      </c>
      <c r="B1324" s="560" t="s">
        <v>3376</v>
      </c>
      <c r="C1324" s="561" t="s">
        <v>213</v>
      </c>
      <c r="D1324" s="472">
        <v>19.838999999999999</v>
      </c>
      <c r="E1324" s="522">
        <v>18.654</v>
      </c>
      <c r="F1324" s="523" t="s">
        <v>4166</v>
      </c>
      <c r="G1324" s="524" t="s">
        <v>3663</v>
      </c>
      <c r="H1324" s="525" t="s">
        <v>3666</v>
      </c>
      <c r="I1324" s="474"/>
      <c r="J1324" s="475" t="s">
        <v>5504</v>
      </c>
    </row>
    <row r="1325" spans="1:10" ht="14.25" customHeight="1">
      <c r="A1325" s="559" t="s">
        <v>3377</v>
      </c>
      <c r="B1325" s="560" t="s">
        <v>3378</v>
      </c>
      <c r="C1325" s="559" t="s">
        <v>213</v>
      </c>
      <c r="D1325" s="472">
        <v>6.915</v>
      </c>
      <c r="E1325" s="522">
        <v>6.45</v>
      </c>
      <c r="F1325" s="523" t="s">
        <v>4166</v>
      </c>
      <c r="G1325" s="524" t="s">
        <v>3663</v>
      </c>
      <c r="H1325" s="525" t="s">
        <v>3666</v>
      </c>
      <c r="I1325" s="474"/>
      <c r="J1325" s="475" t="s">
        <v>5505</v>
      </c>
    </row>
    <row r="1326" spans="1:10" ht="14.25" customHeight="1">
      <c r="A1326" s="559" t="s">
        <v>3379</v>
      </c>
      <c r="B1326" s="560" t="s">
        <v>3380</v>
      </c>
      <c r="C1326" s="559" t="s">
        <v>213</v>
      </c>
      <c r="D1326" s="472">
        <v>5.673</v>
      </c>
      <c r="E1326" s="522">
        <v>5.29</v>
      </c>
      <c r="F1326" s="523" t="s">
        <v>4166</v>
      </c>
      <c r="G1326" s="524" t="s">
        <v>3663</v>
      </c>
      <c r="H1326" s="525" t="s">
        <v>3666</v>
      </c>
      <c r="I1326" s="474"/>
      <c r="J1326" s="475" t="s">
        <v>5506</v>
      </c>
    </row>
    <row r="1327" spans="1:10" ht="14.25" customHeight="1">
      <c r="A1327" s="559" t="s">
        <v>3381</v>
      </c>
      <c r="B1327" s="560" t="s">
        <v>3382</v>
      </c>
      <c r="C1327" s="559" t="s">
        <v>213</v>
      </c>
      <c r="D1327" s="472">
        <v>6.9160000000000004</v>
      </c>
      <c r="E1327" s="522">
        <v>7.077</v>
      </c>
      <c r="F1327" s="523" t="s">
        <v>4166</v>
      </c>
      <c r="G1327" s="524" t="s">
        <v>3663</v>
      </c>
      <c r="H1327" s="525" t="s">
        <v>3666</v>
      </c>
      <c r="I1327" s="474"/>
      <c r="J1327" s="475" t="s">
        <v>5507</v>
      </c>
    </row>
    <row r="1328" spans="1:10" ht="14.25" customHeight="1">
      <c r="A1328" s="559" t="s">
        <v>3383</v>
      </c>
      <c r="B1328" s="560" t="s">
        <v>3384</v>
      </c>
      <c r="C1328" s="559" t="s">
        <v>213</v>
      </c>
      <c r="D1328" s="472">
        <v>6.9160000000000004</v>
      </c>
      <c r="E1328" s="522">
        <v>7.077</v>
      </c>
      <c r="F1328" s="523">
        <v>47</v>
      </c>
      <c r="G1328" s="524" t="s">
        <v>3663</v>
      </c>
      <c r="H1328" s="525" t="s">
        <v>3666</v>
      </c>
      <c r="I1328" s="474"/>
      <c r="J1328" s="475" t="s">
        <v>5508</v>
      </c>
    </row>
    <row r="1329" spans="1:10" ht="14.25" customHeight="1">
      <c r="A1329" s="559" t="s">
        <v>3385</v>
      </c>
      <c r="B1329" s="560" t="s">
        <v>3384</v>
      </c>
      <c r="C1329" s="559" t="s">
        <v>213</v>
      </c>
      <c r="D1329" s="472">
        <v>5.6740000000000004</v>
      </c>
      <c r="E1329" s="522">
        <v>5.2910000000000004</v>
      </c>
      <c r="F1329" s="523" t="s">
        <v>4166</v>
      </c>
      <c r="G1329" s="524" t="s">
        <v>3663</v>
      </c>
      <c r="H1329" s="525" t="s">
        <v>3666</v>
      </c>
      <c r="I1329" s="474"/>
      <c r="J1329" s="475" t="s">
        <v>5509</v>
      </c>
    </row>
    <row r="1330" spans="1:10" ht="14.25" customHeight="1">
      <c r="A1330" s="559" t="s">
        <v>3386</v>
      </c>
      <c r="B1330" s="560" t="s">
        <v>3387</v>
      </c>
      <c r="C1330" s="559" t="s">
        <v>213</v>
      </c>
      <c r="D1330" s="472">
        <v>6.9160000000000004</v>
      </c>
      <c r="E1330" s="522">
        <v>7.077</v>
      </c>
      <c r="F1330" s="523" t="s">
        <v>4166</v>
      </c>
      <c r="G1330" s="524" t="s">
        <v>3663</v>
      </c>
      <c r="H1330" s="525" t="s">
        <v>3666</v>
      </c>
      <c r="I1330" s="474"/>
      <c r="J1330" s="475" t="s">
        <v>5510</v>
      </c>
    </row>
    <row r="1331" spans="1:10" ht="14.25" customHeight="1">
      <c r="A1331" s="559" t="s">
        <v>3388</v>
      </c>
      <c r="B1331" s="560" t="s">
        <v>3389</v>
      </c>
      <c r="C1331" s="559" t="s">
        <v>213</v>
      </c>
      <c r="D1331" s="472">
        <v>9.3140000000000001</v>
      </c>
      <c r="E1331" s="522">
        <v>8.4090000000000007</v>
      </c>
      <c r="F1331" s="523" t="s">
        <v>4166</v>
      </c>
      <c r="G1331" s="524" t="s">
        <v>3663</v>
      </c>
      <c r="H1331" s="525" t="s">
        <v>3666</v>
      </c>
      <c r="I1331" s="474"/>
      <c r="J1331" s="475" t="s">
        <v>5511</v>
      </c>
    </row>
    <row r="1332" spans="1:10" ht="14.25" customHeight="1">
      <c r="A1332" s="559" t="s">
        <v>3390</v>
      </c>
      <c r="B1332" s="560" t="s">
        <v>3391</v>
      </c>
      <c r="C1332" s="559" t="s">
        <v>213</v>
      </c>
      <c r="D1332" s="472">
        <v>8.0719999999999992</v>
      </c>
      <c r="E1332" s="522">
        <v>7.2450000000000001</v>
      </c>
      <c r="F1332" s="523" t="s">
        <v>4166</v>
      </c>
      <c r="G1332" s="524" t="s">
        <v>3663</v>
      </c>
      <c r="H1332" s="525" t="s">
        <v>3666</v>
      </c>
      <c r="I1332" s="474"/>
      <c r="J1332" s="475" t="s">
        <v>5512</v>
      </c>
    </row>
    <row r="1333" spans="1:10" ht="14.25" customHeight="1">
      <c r="A1333" s="559" t="s">
        <v>3392</v>
      </c>
      <c r="B1333" s="560" t="s">
        <v>3393</v>
      </c>
      <c r="C1333" s="559" t="s">
        <v>213</v>
      </c>
      <c r="D1333" s="472">
        <v>17.823</v>
      </c>
      <c r="E1333" s="522">
        <v>16.614000000000001</v>
      </c>
      <c r="F1333" s="523" t="s">
        <v>4166</v>
      </c>
      <c r="G1333" s="524" t="s">
        <v>3663</v>
      </c>
      <c r="H1333" s="525" t="s">
        <v>3666</v>
      </c>
      <c r="I1333" s="474"/>
      <c r="J1333" s="475" t="s">
        <v>5513</v>
      </c>
    </row>
    <row r="1334" spans="1:10" ht="14.25" customHeight="1">
      <c r="A1334" s="559" t="s">
        <v>3394</v>
      </c>
      <c r="B1334" s="560" t="s">
        <v>3395</v>
      </c>
      <c r="C1334" s="559" t="s">
        <v>213</v>
      </c>
      <c r="D1334" s="472">
        <v>17.823</v>
      </c>
      <c r="E1334" s="522">
        <v>16.614000000000001</v>
      </c>
      <c r="F1334" s="523" t="s">
        <v>4166</v>
      </c>
      <c r="G1334" s="524" t="s">
        <v>3663</v>
      </c>
      <c r="H1334" s="525" t="s">
        <v>3666</v>
      </c>
      <c r="I1334" s="474"/>
      <c r="J1334" s="475" t="s">
        <v>5514</v>
      </c>
    </row>
    <row r="1335" spans="1:10" ht="14.25" customHeight="1">
      <c r="A1335" s="559" t="s">
        <v>3396</v>
      </c>
      <c r="B1335" s="560" t="s">
        <v>3397</v>
      </c>
      <c r="C1335" s="559" t="s">
        <v>213</v>
      </c>
      <c r="D1335" s="472">
        <v>17.823</v>
      </c>
      <c r="E1335" s="522">
        <v>16.614000000000001</v>
      </c>
      <c r="F1335" s="523">
        <v>81</v>
      </c>
      <c r="G1335" s="524" t="s">
        <v>3663</v>
      </c>
      <c r="H1335" s="525" t="s">
        <v>3666</v>
      </c>
      <c r="I1335" s="474"/>
      <c r="J1335" s="475" t="s">
        <v>5515</v>
      </c>
    </row>
    <row r="1336" spans="1:10" ht="14.25" customHeight="1">
      <c r="A1336" s="559" t="s">
        <v>3398</v>
      </c>
      <c r="B1336" s="560" t="s">
        <v>3399</v>
      </c>
      <c r="C1336" s="559" t="s">
        <v>213</v>
      </c>
      <c r="D1336" s="472">
        <v>17.823</v>
      </c>
      <c r="E1336" s="522">
        <v>16.614000000000001</v>
      </c>
      <c r="F1336" s="523" t="s">
        <v>4166</v>
      </c>
      <c r="G1336" s="524" t="s">
        <v>3663</v>
      </c>
      <c r="H1336" s="525" t="s">
        <v>3666</v>
      </c>
      <c r="I1336" s="474"/>
      <c r="J1336" s="475" t="s">
        <v>5516</v>
      </c>
    </row>
    <row r="1337" spans="1:10" ht="14.25" customHeight="1">
      <c r="A1337" s="559" t="s">
        <v>3400</v>
      </c>
      <c r="B1337" s="560" t="s">
        <v>3401</v>
      </c>
      <c r="C1337" s="559" t="s">
        <v>213</v>
      </c>
      <c r="D1337" s="472">
        <v>20.22</v>
      </c>
      <c r="E1337" s="522">
        <v>18.577000000000002</v>
      </c>
      <c r="F1337" s="523" t="s">
        <v>4166</v>
      </c>
      <c r="G1337" s="524" t="s">
        <v>3663</v>
      </c>
      <c r="H1337" s="525" t="s">
        <v>3666</v>
      </c>
      <c r="I1337" s="474"/>
      <c r="J1337" s="475" t="s">
        <v>5517</v>
      </c>
    </row>
    <row r="1338" spans="1:10" ht="14.25" customHeight="1">
      <c r="A1338" s="559" t="s">
        <v>3402</v>
      </c>
      <c r="B1338" s="560" t="s">
        <v>3403</v>
      </c>
      <c r="C1338" s="559" t="s">
        <v>213</v>
      </c>
      <c r="D1338" s="472">
        <v>21.928000000000001</v>
      </c>
      <c r="E1338" s="522">
        <v>20.448</v>
      </c>
      <c r="F1338" s="523" t="s">
        <v>4166</v>
      </c>
      <c r="G1338" s="524" t="s">
        <v>3663</v>
      </c>
      <c r="H1338" s="525" t="s">
        <v>3666</v>
      </c>
      <c r="I1338" s="474"/>
      <c r="J1338" s="475" t="s">
        <v>5518</v>
      </c>
    </row>
    <row r="1339" spans="1:10" ht="14.25" customHeight="1">
      <c r="A1339" s="559" t="s">
        <v>3404</v>
      </c>
      <c r="B1339" s="560" t="s">
        <v>3405</v>
      </c>
      <c r="C1339" s="559" t="s">
        <v>213</v>
      </c>
      <c r="D1339" s="472">
        <v>21.928000000000001</v>
      </c>
      <c r="E1339" s="522">
        <v>20.448</v>
      </c>
      <c r="F1339" s="523" t="s">
        <v>4166</v>
      </c>
      <c r="G1339" s="524" t="s">
        <v>3663</v>
      </c>
      <c r="H1339" s="525" t="s">
        <v>3666</v>
      </c>
      <c r="I1339" s="474"/>
      <c r="J1339" s="475" t="s">
        <v>5519</v>
      </c>
    </row>
    <row r="1340" spans="1:10" ht="14.25" customHeight="1">
      <c r="A1340" s="559" t="s">
        <v>3406</v>
      </c>
      <c r="B1340" s="560" t="s">
        <v>3407</v>
      </c>
      <c r="C1340" s="559" t="s">
        <v>213</v>
      </c>
      <c r="D1340" s="472">
        <v>21.928000000000001</v>
      </c>
      <c r="E1340" s="522">
        <v>20.448</v>
      </c>
      <c r="F1340" s="523" t="s">
        <v>4166</v>
      </c>
      <c r="G1340" s="524" t="s">
        <v>3663</v>
      </c>
      <c r="H1340" s="525" t="s">
        <v>3666</v>
      </c>
      <c r="I1340" s="474"/>
      <c r="J1340" s="475" t="s">
        <v>5520</v>
      </c>
    </row>
    <row r="1341" spans="1:10" ht="14.25" customHeight="1">
      <c r="A1341" s="559" t="s">
        <v>3408</v>
      </c>
      <c r="B1341" s="560" t="s">
        <v>3409</v>
      </c>
      <c r="C1341" s="559" t="s">
        <v>213</v>
      </c>
      <c r="D1341" s="472">
        <v>21.928000000000001</v>
      </c>
      <c r="E1341" s="522">
        <v>20.448</v>
      </c>
      <c r="F1341" s="523" t="s">
        <v>4166</v>
      </c>
      <c r="G1341" s="524" t="s">
        <v>3663</v>
      </c>
      <c r="H1341" s="525" t="s">
        <v>3666</v>
      </c>
      <c r="I1341" s="474"/>
      <c r="J1341" s="475" t="s">
        <v>5521</v>
      </c>
    </row>
    <row r="1342" spans="1:10" ht="14.25" customHeight="1">
      <c r="A1342" s="559" t="s">
        <v>3410</v>
      </c>
      <c r="B1342" s="560" t="s">
        <v>3411</v>
      </c>
      <c r="C1342" s="559" t="s">
        <v>213</v>
      </c>
      <c r="D1342" s="472">
        <v>24.326000000000001</v>
      </c>
      <c r="E1342" s="522">
        <v>22.408999999999999</v>
      </c>
      <c r="F1342" s="523" t="s">
        <v>4166</v>
      </c>
      <c r="G1342" s="524" t="s">
        <v>3663</v>
      </c>
      <c r="H1342" s="525" t="s">
        <v>3666</v>
      </c>
      <c r="I1342" s="474"/>
      <c r="J1342" s="475" t="s">
        <v>5522</v>
      </c>
    </row>
    <row r="1343" spans="1:10" ht="14.25" customHeight="1">
      <c r="A1343" s="520" t="s">
        <v>2084</v>
      </c>
      <c r="B1343" s="521" t="s">
        <v>2085</v>
      </c>
      <c r="C1343" s="520" t="s">
        <v>213</v>
      </c>
      <c r="D1343" s="472">
        <v>32.450000000000003</v>
      </c>
      <c r="E1343" s="522">
        <v>25.01</v>
      </c>
      <c r="F1343" s="523" t="s">
        <v>4166</v>
      </c>
      <c r="G1343" s="527" t="s">
        <v>3662</v>
      </c>
      <c r="H1343" s="525" t="s">
        <v>3666</v>
      </c>
      <c r="I1343" s="474"/>
      <c r="J1343" s="475" t="s">
        <v>5523</v>
      </c>
    </row>
    <row r="1344" spans="1:10" ht="14.25" customHeight="1">
      <c r="A1344" s="520" t="s">
        <v>2086</v>
      </c>
      <c r="B1344" s="521" t="s">
        <v>2087</v>
      </c>
      <c r="C1344" s="520" t="s">
        <v>213</v>
      </c>
      <c r="D1344" s="472">
        <v>32.450000000000003</v>
      </c>
      <c r="E1344" s="522">
        <v>25.01</v>
      </c>
      <c r="F1344" s="523" t="s">
        <v>4166</v>
      </c>
      <c r="G1344" s="527" t="s">
        <v>3662</v>
      </c>
      <c r="H1344" s="525" t="s">
        <v>3666</v>
      </c>
      <c r="I1344" s="474"/>
      <c r="J1344" s="475" t="s">
        <v>5524</v>
      </c>
    </row>
    <row r="1345" spans="1:10" ht="14.25" customHeight="1">
      <c r="A1345" s="520" t="s">
        <v>2088</v>
      </c>
      <c r="B1345" s="521" t="s">
        <v>2089</v>
      </c>
      <c r="C1345" s="520" t="s">
        <v>213</v>
      </c>
      <c r="D1345" s="472">
        <v>32.450000000000003</v>
      </c>
      <c r="E1345" s="522">
        <v>25.01</v>
      </c>
      <c r="F1345" s="523" t="s">
        <v>4166</v>
      </c>
      <c r="G1345" s="527" t="s">
        <v>3662</v>
      </c>
      <c r="H1345" s="525" t="s">
        <v>3666</v>
      </c>
      <c r="I1345" s="474"/>
      <c r="J1345" s="475" t="s">
        <v>5525</v>
      </c>
    </row>
    <row r="1346" spans="1:10" ht="14.25" customHeight="1">
      <c r="A1346" s="520" t="s">
        <v>2090</v>
      </c>
      <c r="B1346" s="521" t="s">
        <v>2091</v>
      </c>
      <c r="C1346" s="520" t="s">
        <v>213</v>
      </c>
      <c r="D1346" s="472">
        <v>32.450000000000003</v>
      </c>
      <c r="E1346" s="522">
        <v>25.01</v>
      </c>
      <c r="F1346" s="523">
        <v>147</v>
      </c>
      <c r="G1346" s="527" t="s">
        <v>3662</v>
      </c>
      <c r="H1346" s="525" t="s">
        <v>3666</v>
      </c>
      <c r="I1346" s="474"/>
      <c r="J1346" s="475" t="s">
        <v>5526</v>
      </c>
    </row>
    <row r="1347" spans="1:10" ht="14.25" customHeight="1">
      <c r="A1347" s="520" t="s">
        <v>2092</v>
      </c>
      <c r="B1347" s="521" t="s">
        <v>2093</v>
      </c>
      <c r="C1347" s="520" t="s">
        <v>213</v>
      </c>
      <c r="D1347" s="472">
        <v>32.450000000000003</v>
      </c>
      <c r="E1347" s="522">
        <v>25.01</v>
      </c>
      <c r="F1347" s="523" t="s">
        <v>4166</v>
      </c>
      <c r="G1347" s="527" t="s">
        <v>3662</v>
      </c>
      <c r="H1347" s="525" t="s">
        <v>3666</v>
      </c>
      <c r="I1347" s="474"/>
      <c r="J1347" s="475" t="s">
        <v>5527</v>
      </c>
    </row>
    <row r="1348" spans="1:10" ht="14.25" customHeight="1">
      <c r="A1348" s="520" t="s">
        <v>5528</v>
      </c>
      <c r="B1348" s="521" t="s">
        <v>2094</v>
      </c>
      <c r="C1348" s="520" t="s">
        <v>213</v>
      </c>
      <c r="D1348" s="472">
        <v>32.450000000000003</v>
      </c>
      <c r="E1348" s="522">
        <v>25.01</v>
      </c>
      <c r="F1348" s="523" t="s">
        <v>4166</v>
      </c>
      <c r="G1348" s="527" t="s">
        <v>3662</v>
      </c>
      <c r="H1348" s="525" t="s">
        <v>3666</v>
      </c>
      <c r="I1348" s="474"/>
      <c r="J1348" s="475" t="s">
        <v>5529</v>
      </c>
    </row>
    <row r="1349" spans="1:10" ht="14.25" customHeight="1">
      <c r="A1349" s="520" t="s">
        <v>2095</v>
      </c>
      <c r="B1349" s="521" t="s">
        <v>2096</v>
      </c>
      <c r="C1349" s="520" t="s">
        <v>213</v>
      </c>
      <c r="D1349" s="472">
        <v>6.915</v>
      </c>
      <c r="E1349" s="522">
        <v>6.45</v>
      </c>
      <c r="F1349" s="523">
        <v>50.2</v>
      </c>
      <c r="G1349" s="524" t="s">
        <v>3663</v>
      </c>
      <c r="H1349" s="525" t="s">
        <v>3666</v>
      </c>
      <c r="I1349" s="474"/>
      <c r="J1349" s="475" t="s">
        <v>5530</v>
      </c>
    </row>
    <row r="1350" spans="1:10" ht="15" customHeight="1">
      <c r="A1350" s="520" t="s">
        <v>2097</v>
      </c>
      <c r="B1350" s="521" t="s">
        <v>2098</v>
      </c>
      <c r="C1350" s="520" t="s">
        <v>213</v>
      </c>
      <c r="D1350" s="472">
        <v>8.5950000000000006</v>
      </c>
      <c r="E1350" s="522">
        <v>8.0229999999999997</v>
      </c>
      <c r="F1350" s="523" t="s">
        <v>4166</v>
      </c>
      <c r="G1350" s="524" t="s">
        <v>3663</v>
      </c>
      <c r="H1350" s="525" t="s">
        <v>3666</v>
      </c>
      <c r="I1350" s="474"/>
      <c r="J1350" s="475" t="s">
        <v>5531</v>
      </c>
    </row>
    <row r="1351" spans="1:10" ht="14.25" customHeight="1">
      <c r="A1351" s="520" t="s">
        <v>2099</v>
      </c>
      <c r="B1351" s="521" t="s">
        <v>2100</v>
      </c>
      <c r="C1351" s="520" t="s">
        <v>213</v>
      </c>
      <c r="D1351" s="472">
        <v>6.3250000000000002</v>
      </c>
      <c r="E1351" s="522">
        <v>5.99</v>
      </c>
      <c r="F1351" s="523" t="s">
        <v>4166</v>
      </c>
      <c r="G1351" s="524" t="s">
        <v>3663</v>
      </c>
      <c r="H1351" s="525" t="s">
        <v>3666</v>
      </c>
      <c r="I1351" s="474"/>
      <c r="J1351" s="475" t="s">
        <v>5532</v>
      </c>
    </row>
    <row r="1352" spans="1:10" ht="14.25" customHeight="1">
      <c r="A1352" s="520" t="s">
        <v>2101</v>
      </c>
      <c r="B1352" s="521" t="s">
        <v>2102</v>
      </c>
      <c r="C1352" s="520" t="s">
        <v>213</v>
      </c>
      <c r="D1352" s="472">
        <v>17.823</v>
      </c>
      <c r="E1352" s="522">
        <v>16.614000000000001</v>
      </c>
      <c r="F1352" s="523">
        <v>86.2</v>
      </c>
      <c r="G1352" s="524" t="s">
        <v>3663</v>
      </c>
      <c r="H1352" s="525" t="s">
        <v>3666</v>
      </c>
      <c r="I1352" s="474"/>
      <c r="J1352" s="475" t="s">
        <v>5533</v>
      </c>
    </row>
    <row r="1353" spans="1:10" ht="14.25" customHeight="1">
      <c r="A1353" s="520" t="s">
        <v>2103</v>
      </c>
      <c r="B1353" s="521" t="s">
        <v>2104</v>
      </c>
      <c r="C1353" s="520" t="s">
        <v>213</v>
      </c>
      <c r="D1353" s="472">
        <v>19.501999999999999</v>
      </c>
      <c r="E1353" s="522">
        <v>18.187000000000001</v>
      </c>
      <c r="F1353" s="523" t="s">
        <v>4166</v>
      </c>
      <c r="G1353" s="524" t="s">
        <v>3663</v>
      </c>
      <c r="H1353" s="525" t="s">
        <v>3666</v>
      </c>
      <c r="I1353" s="474"/>
      <c r="J1353" s="475" t="s">
        <v>5534</v>
      </c>
    </row>
    <row r="1354" spans="1:10" ht="14.25" customHeight="1">
      <c r="A1354" s="520" t="s">
        <v>2105</v>
      </c>
      <c r="B1354" s="521" t="s">
        <v>2106</v>
      </c>
      <c r="C1354" s="520" t="s">
        <v>213</v>
      </c>
      <c r="D1354" s="472">
        <v>17.233000000000001</v>
      </c>
      <c r="E1354" s="522">
        <v>16.154</v>
      </c>
      <c r="F1354" s="523" t="s">
        <v>4166</v>
      </c>
      <c r="G1354" s="524" t="s">
        <v>3663</v>
      </c>
      <c r="H1354" s="525" t="s">
        <v>3666</v>
      </c>
      <c r="I1354" s="474"/>
      <c r="J1354" s="475" t="s">
        <v>5535</v>
      </c>
    </row>
    <row r="1355" spans="1:10" ht="14.25" customHeight="1">
      <c r="A1355" s="520" t="s">
        <v>2107</v>
      </c>
      <c r="B1355" s="521" t="s">
        <v>2108</v>
      </c>
      <c r="C1355" s="520" t="s">
        <v>213</v>
      </c>
      <c r="D1355" s="472">
        <v>21.928000000000001</v>
      </c>
      <c r="E1355" s="522">
        <v>20.448</v>
      </c>
      <c r="F1355" s="523" t="s">
        <v>4166</v>
      </c>
      <c r="G1355" s="524" t="s">
        <v>3663</v>
      </c>
      <c r="H1355" s="525" t="s">
        <v>3666</v>
      </c>
      <c r="I1355" s="474"/>
      <c r="J1355" s="475" t="s">
        <v>5536</v>
      </c>
    </row>
    <row r="1356" spans="1:10" ht="14.25" customHeight="1">
      <c r="A1356" s="520" t="s">
        <v>2109</v>
      </c>
      <c r="B1356" s="521" t="s">
        <v>2110</v>
      </c>
      <c r="C1356" s="520" t="s">
        <v>213</v>
      </c>
      <c r="D1356" s="472">
        <v>23.606000000000002</v>
      </c>
      <c r="E1356" s="522">
        <v>22.02</v>
      </c>
      <c r="F1356" s="523" t="s">
        <v>4166</v>
      </c>
      <c r="G1356" s="524" t="s">
        <v>3663</v>
      </c>
      <c r="H1356" s="525" t="s">
        <v>3666</v>
      </c>
      <c r="I1356" s="474"/>
      <c r="J1356" s="475" t="s">
        <v>5537</v>
      </c>
    </row>
    <row r="1357" spans="1:10" ht="14.25" customHeight="1">
      <c r="A1357" s="520" t="s">
        <v>2111</v>
      </c>
      <c r="B1357" s="521" t="s">
        <v>2112</v>
      </c>
      <c r="C1357" s="520" t="s">
        <v>213</v>
      </c>
      <c r="D1357" s="472">
        <v>21.335999999999999</v>
      </c>
      <c r="E1357" s="522">
        <v>19.989000000000001</v>
      </c>
      <c r="F1357" s="523" t="s">
        <v>4166</v>
      </c>
      <c r="G1357" s="524" t="s">
        <v>3663</v>
      </c>
      <c r="H1357" s="525" t="s">
        <v>3666</v>
      </c>
      <c r="I1357" s="474"/>
      <c r="J1357" s="475" t="s">
        <v>5538</v>
      </c>
    </row>
    <row r="1358" spans="1:10" ht="14.25" customHeight="1">
      <c r="A1358" s="520" t="s">
        <v>2113</v>
      </c>
      <c r="B1358" s="521" t="s">
        <v>2114</v>
      </c>
      <c r="C1358" s="520" t="s">
        <v>213</v>
      </c>
      <c r="D1358" s="472">
        <v>6.915</v>
      </c>
      <c r="E1358" s="522">
        <v>6.45</v>
      </c>
      <c r="F1358" s="523" t="s">
        <v>4166</v>
      </c>
      <c r="G1358" s="524" t="s">
        <v>3663</v>
      </c>
      <c r="H1358" s="525" t="s">
        <v>3666</v>
      </c>
      <c r="I1358" s="474"/>
      <c r="J1358" s="475" t="s">
        <v>5539</v>
      </c>
    </row>
    <row r="1359" spans="1:10" ht="15" customHeight="1">
      <c r="A1359" s="520" t="s">
        <v>2115</v>
      </c>
      <c r="B1359" s="521" t="s">
        <v>2116</v>
      </c>
      <c r="C1359" s="520" t="s">
        <v>213</v>
      </c>
      <c r="D1359" s="472">
        <v>8.5950000000000006</v>
      </c>
      <c r="E1359" s="522">
        <v>8.0229999999999997</v>
      </c>
      <c r="F1359" s="523" t="s">
        <v>4166</v>
      </c>
      <c r="G1359" s="524" t="s">
        <v>3663</v>
      </c>
      <c r="H1359" s="525" t="s">
        <v>3666</v>
      </c>
      <c r="I1359" s="474"/>
      <c r="J1359" s="475" t="s">
        <v>5540</v>
      </c>
    </row>
    <row r="1360" spans="1:10" ht="14.25" customHeight="1">
      <c r="A1360" s="520" t="s">
        <v>2117</v>
      </c>
      <c r="B1360" s="521" t="s">
        <v>2118</v>
      </c>
      <c r="C1360" s="520" t="s">
        <v>213</v>
      </c>
      <c r="D1360" s="472">
        <v>6.3250000000000002</v>
      </c>
      <c r="E1360" s="522">
        <v>5.99</v>
      </c>
      <c r="F1360" s="523" t="s">
        <v>4166</v>
      </c>
      <c r="G1360" s="524" t="s">
        <v>3663</v>
      </c>
      <c r="H1360" s="525" t="s">
        <v>3666</v>
      </c>
      <c r="I1360" s="474"/>
      <c r="J1360" s="475" t="s">
        <v>5541</v>
      </c>
    </row>
    <row r="1361" spans="1:10" ht="14.25" customHeight="1">
      <c r="A1361" s="520" t="s">
        <v>4061</v>
      </c>
      <c r="B1361" s="521" t="s">
        <v>4062</v>
      </c>
      <c r="C1361" s="520" t="s">
        <v>213</v>
      </c>
      <c r="D1361" s="472">
        <v>6.915</v>
      </c>
      <c r="E1361" s="522">
        <v>6.45</v>
      </c>
      <c r="F1361" s="523" t="s">
        <v>4166</v>
      </c>
      <c r="G1361" s="524" t="s">
        <v>3663</v>
      </c>
      <c r="H1361" s="525" t="s">
        <v>3666</v>
      </c>
      <c r="I1361" s="474"/>
      <c r="J1361" s="475" t="s">
        <v>5542</v>
      </c>
    </row>
    <row r="1362" spans="1:10" ht="14.25" customHeight="1">
      <c r="A1362" s="520" t="s">
        <v>4063</v>
      </c>
      <c r="B1362" s="521" t="s">
        <v>4064</v>
      </c>
      <c r="C1362" s="520" t="s">
        <v>213</v>
      </c>
      <c r="D1362" s="472">
        <v>6.915</v>
      </c>
      <c r="E1362" s="522">
        <v>6.45</v>
      </c>
      <c r="F1362" s="523" t="s">
        <v>4166</v>
      </c>
      <c r="G1362" s="524" t="s">
        <v>3663</v>
      </c>
      <c r="H1362" s="525" t="s">
        <v>3666</v>
      </c>
      <c r="I1362" s="474"/>
      <c r="J1362" s="475" t="s">
        <v>5543</v>
      </c>
    </row>
    <row r="1363" spans="1:10" ht="14.25" customHeight="1">
      <c r="A1363" s="520" t="s">
        <v>2119</v>
      </c>
      <c r="B1363" s="521" t="s">
        <v>2120</v>
      </c>
      <c r="C1363" s="520" t="s">
        <v>213</v>
      </c>
      <c r="D1363" s="472">
        <v>17.823</v>
      </c>
      <c r="E1363" s="522">
        <v>16.614000000000001</v>
      </c>
      <c r="F1363" s="523" t="s">
        <v>4166</v>
      </c>
      <c r="G1363" s="524" t="s">
        <v>3663</v>
      </c>
      <c r="H1363" s="525" t="s">
        <v>3666</v>
      </c>
      <c r="I1363" s="474"/>
      <c r="J1363" s="475" t="s">
        <v>5544</v>
      </c>
    </row>
    <row r="1364" spans="1:10" ht="14.25" customHeight="1">
      <c r="A1364" s="520" t="s">
        <v>2121</v>
      </c>
      <c r="B1364" s="521" t="s">
        <v>2122</v>
      </c>
      <c r="C1364" s="520" t="s">
        <v>213</v>
      </c>
      <c r="D1364" s="472">
        <v>19.501999999999999</v>
      </c>
      <c r="E1364" s="522">
        <v>18.187000000000001</v>
      </c>
      <c r="F1364" s="523" t="s">
        <v>4166</v>
      </c>
      <c r="G1364" s="524" t="s">
        <v>3663</v>
      </c>
      <c r="H1364" s="525" t="s">
        <v>3666</v>
      </c>
      <c r="I1364" s="474"/>
      <c r="J1364" s="475" t="s">
        <v>5545</v>
      </c>
    </row>
    <row r="1365" spans="1:10" ht="14.25" customHeight="1">
      <c r="A1365" s="520" t="s">
        <v>2123</v>
      </c>
      <c r="B1365" s="521" t="s">
        <v>2124</v>
      </c>
      <c r="C1365" s="520" t="s">
        <v>213</v>
      </c>
      <c r="D1365" s="472">
        <v>17.233000000000001</v>
      </c>
      <c r="E1365" s="522">
        <v>16.154</v>
      </c>
      <c r="F1365" s="523" t="s">
        <v>4166</v>
      </c>
      <c r="G1365" s="524" t="s">
        <v>3663</v>
      </c>
      <c r="H1365" s="525" t="s">
        <v>3666</v>
      </c>
      <c r="I1365" s="474"/>
      <c r="J1365" s="475" t="s">
        <v>5546</v>
      </c>
    </row>
    <row r="1366" spans="1:10" ht="14.25" customHeight="1">
      <c r="A1366" s="520" t="s">
        <v>2125</v>
      </c>
      <c r="B1366" s="521" t="s">
        <v>2126</v>
      </c>
      <c r="C1366" s="520" t="s">
        <v>213</v>
      </c>
      <c r="D1366" s="472">
        <v>21.928000000000001</v>
      </c>
      <c r="E1366" s="522">
        <v>20.448</v>
      </c>
      <c r="F1366" s="523" t="s">
        <v>4166</v>
      </c>
      <c r="G1366" s="524" t="s">
        <v>3663</v>
      </c>
      <c r="H1366" s="525" t="s">
        <v>3666</v>
      </c>
      <c r="I1366" s="474"/>
      <c r="J1366" s="475" t="s">
        <v>5547</v>
      </c>
    </row>
    <row r="1367" spans="1:10" ht="14.25" customHeight="1">
      <c r="A1367" s="520" t="s">
        <v>2127</v>
      </c>
      <c r="B1367" s="521" t="s">
        <v>2128</v>
      </c>
      <c r="C1367" s="520" t="s">
        <v>213</v>
      </c>
      <c r="D1367" s="472">
        <v>23.606000000000002</v>
      </c>
      <c r="E1367" s="522">
        <v>22.02</v>
      </c>
      <c r="F1367" s="523" t="s">
        <v>4166</v>
      </c>
      <c r="G1367" s="524" t="s">
        <v>3663</v>
      </c>
      <c r="H1367" s="525" t="s">
        <v>3666</v>
      </c>
      <c r="I1367" s="474"/>
      <c r="J1367" s="475" t="s">
        <v>5548</v>
      </c>
    </row>
    <row r="1368" spans="1:10" ht="14.25" customHeight="1">
      <c r="A1368" s="520" t="s">
        <v>2129</v>
      </c>
      <c r="B1368" s="521" t="s">
        <v>2130</v>
      </c>
      <c r="C1368" s="520" t="s">
        <v>213</v>
      </c>
      <c r="D1368" s="472">
        <v>21.335999999999999</v>
      </c>
      <c r="E1368" s="522">
        <v>19.989000000000001</v>
      </c>
      <c r="F1368" s="523" t="s">
        <v>4166</v>
      </c>
      <c r="G1368" s="524" t="s">
        <v>3663</v>
      </c>
      <c r="H1368" s="525" t="s">
        <v>3666</v>
      </c>
      <c r="I1368" s="474"/>
      <c r="J1368" s="475" t="s">
        <v>5549</v>
      </c>
    </row>
    <row r="1369" spans="1:10" ht="14.25" customHeight="1">
      <c r="A1369" s="520" t="s">
        <v>2131</v>
      </c>
      <c r="B1369" s="521" t="s">
        <v>2132</v>
      </c>
      <c r="C1369" s="520" t="s">
        <v>213</v>
      </c>
      <c r="D1369" s="472">
        <v>9.3140000000000001</v>
      </c>
      <c r="E1369" s="522">
        <v>8.4090000000000007</v>
      </c>
      <c r="F1369" s="523" t="s">
        <v>4166</v>
      </c>
      <c r="G1369" s="524" t="s">
        <v>3663</v>
      </c>
      <c r="H1369" s="525" t="s">
        <v>3666</v>
      </c>
      <c r="I1369" s="474"/>
      <c r="J1369" s="475" t="s">
        <v>5550</v>
      </c>
    </row>
    <row r="1370" spans="1:10" ht="15" customHeight="1">
      <c r="A1370" s="520" t="s">
        <v>2133</v>
      </c>
      <c r="B1370" s="521" t="s">
        <v>2134</v>
      </c>
      <c r="C1370" s="520" t="s">
        <v>213</v>
      </c>
      <c r="D1370" s="472">
        <v>10.992000000000001</v>
      </c>
      <c r="E1370" s="522">
        <v>9.9809999999999999</v>
      </c>
      <c r="F1370" s="523" t="s">
        <v>4166</v>
      </c>
      <c r="G1370" s="524" t="s">
        <v>3663</v>
      </c>
      <c r="H1370" s="525" t="s">
        <v>3666</v>
      </c>
      <c r="I1370" s="474"/>
      <c r="J1370" s="475" t="s">
        <v>5551</v>
      </c>
    </row>
    <row r="1371" spans="1:10" ht="14.25" customHeight="1">
      <c r="A1371" s="520" t="s">
        <v>2135</v>
      </c>
      <c r="B1371" s="521" t="s">
        <v>2136</v>
      </c>
      <c r="C1371" s="520" t="s">
        <v>213</v>
      </c>
      <c r="D1371" s="472">
        <v>8.7230000000000008</v>
      </c>
      <c r="E1371" s="522">
        <v>7.95</v>
      </c>
      <c r="F1371" s="523" t="s">
        <v>4166</v>
      </c>
      <c r="G1371" s="524" t="s">
        <v>3663</v>
      </c>
      <c r="H1371" s="525" t="s">
        <v>3666</v>
      </c>
      <c r="I1371" s="474"/>
      <c r="J1371" s="475" t="s">
        <v>5552</v>
      </c>
    </row>
    <row r="1372" spans="1:10" ht="14.25" customHeight="1">
      <c r="A1372" s="520" t="s">
        <v>2137</v>
      </c>
      <c r="B1372" s="521" t="s">
        <v>2138</v>
      </c>
      <c r="C1372" s="520" t="s">
        <v>213</v>
      </c>
      <c r="D1372" s="472">
        <v>20.22</v>
      </c>
      <c r="E1372" s="522">
        <v>18.577000000000002</v>
      </c>
      <c r="F1372" s="523" t="s">
        <v>4166</v>
      </c>
      <c r="G1372" s="524" t="s">
        <v>3663</v>
      </c>
      <c r="H1372" s="525" t="s">
        <v>3666</v>
      </c>
      <c r="I1372" s="474"/>
      <c r="J1372" s="475" t="s">
        <v>5553</v>
      </c>
    </row>
    <row r="1373" spans="1:10" ht="14.25" customHeight="1">
      <c r="A1373" s="520" t="s">
        <v>2139</v>
      </c>
      <c r="B1373" s="521" t="s">
        <v>2140</v>
      </c>
      <c r="C1373" s="520" t="s">
        <v>213</v>
      </c>
      <c r="D1373" s="472">
        <v>21.898</v>
      </c>
      <c r="E1373" s="522">
        <v>20.149999999999999</v>
      </c>
      <c r="F1373" s="523" t="s">
        <v>4166</v>
      </c>
      <c r="G1373" s="524" t="s">
        <v>3663</v>
      </c>
      <c r="H1373" s="525" t="s">
        <v>3666</v>
      </c>
      <c r="I1373" s="474"/>
      <c r="J1373" s="475" t="s">
        <v>5554</v>
      </c>
    </row>
    <row r="1374" spans="1:10" ht="14.25" customHeight="1">
      <c r="A1374" s="520" t="s">
        <v>2141</v>
      </c>
      <c r="B1374" s="521" t="s">
        <v>2142</v>
      </c>
      <c r="C1374" s="520" t="s">
        <v>213</v>
      </c>
      <c r="D1374" s="472">
        <v>19.628</v>
      </c>
      <c r="E1374" s="522">
        <v>18.117000000000001</v>
      </c>
      <c r="F1374" s="523" t="s">
        <v>4166</v>
      </c>
      <c r="G1374" s="524" t="s">
        <v>3663</v>
      </c>
      <c r="H1374" s="525" t="s">
        <v>3666</v>
      </c>
      <c r="I1374" s="474"/>
      <c r="J1374" s="475" t="s">
        <v>5555</v>
      </c>
    </row>
    <row r="1375" spans="1:10" ht="14.25" customHeight="1">
      <c r="A1375" s="574" t="s">
        <v>2143</v>
      </c>
      <c r="B1375" s="521" t="s">
        <v>2144</v>
      </c>
      <c r="C1375" s="520" t="s">
        <v>213</v>
      </c>
      <c r="D1375" s="472">
        <v>24.326000000000001</v>
      </c>
      <c r="E1375" s="522">
        <v>22.408999999999999</v>
      </c>
      <c r="F1375" s="523" t="s">
        <v>4166</v>
      </c>
      <c r="G1375" s="524" t="s">
        <v>3663</v>
      </c>
      <c r="H1375" s="525" t="s">
        <v>3666</v>
      </c>
      <c r="I1375" s="474"/>
      <c r="J1375" s="475" t="s">
        <v>5556</v>
      </c>
    </row>
    <row r="1376" spans="1:10" ht="14.25" customHeight="1">
      <c r="A1376" s="520" t="s">
        <v>2145</v>
      </c>
      <c r="B1376" s="521" t="s">
        <v>2146</v>
      </c>
      <c r="C1376" s="520" t="s">
        <v>213</v>
      </c>
      <c r="D1376" s="472">
        <v>26.004000000000001</v>
      </c>
      <c r="E1376" s="522">
        <v>23.981000000000002</v>
      </c>
      <c r="F1376" s="523" t="s">
        <v>4166</v>
      </c>
      <c r="G1376" s="524" t="s">
        <v>3663</v>
      </c>
      <c r="H1376" s="525" t="s">
        <v>3666</v>
      </c>
      <c r="I1376" s="474"/>
      <c r="J1376" s="475" t="s">
        <v>5557</v>
      </c>
    </row>
    <row r="1377" spans="1:10" ht="14.25" customHeight="1">
      <c r="A1377" s="520" t="s">
        <v>2147</v>
      </c>
      <c r="B1377" s="521" t="s">
        <v>2148</v>
      </c>
      <c r="C1377" s="520" t="s">
        <v>213</v>
      </c>
      <c r="D1377" s="472">
        <v>23.734000000000002</v>
      </c>
      <c r="E1377" s="522">
        <v>21.95</v>
      </c>
      <c r="F1377" s="523" t="s">
        <v>4166</v>
      </c>
      <c r="G1377" s="524" t="s">
        <v>3663</v>
      </c>
      <c r="H1377" s="525" t="s">
        <v>3666</v>
      </c>
      <c r="I1377" s="474"/>
      <c r="J1377" s="475" t="s">
        <v>5558</v>
      </c>
    </row>
    <row r="1378" spans="1:10" ht="14.25" customHeight="1">
      <c r="A1378" s="520" t="s">
        <v>2149</v>
      </c>
      <c r="B1378" s="521" t="s">
        <v>2150</v>
      </c>
      <c r="C1378" s="520" t="s">
        <v>213</v>
      </c>
      <c r="D1378" s="472">
        <v>6.915</v>
      </c>
      <c r="E1378" s="522">
        <v>6.45</v>
      </c>
      <c r="F1378" s="523" t="s">
        <v>4166</v>
      </c>
      <c r="G1378" s="524" t="s">
        <v>3663</v>
      </c>
      <c r="H1378" s="525" t="s">
        <v>3666</v>
      </c>
      <c r="I1378" s="474"/>
      <c r="J1378" s="475" t="s">
        <v>5559</v>
      </c>
    </row>
    <row r="1379" spans="1:10" ht="15" customHeight="1">
      <c r="A1379" s="520" t="s">
        <v>2151</v>
      </c>
      <c r="B1379" s="521" t="s">
        <v>2152</v>
      </c>
      <c r="C1379" s="520" t="s">
        <v>213</v>
      </c>
      <c r="D1379" s="472">
        <v>8.5950000000000006</v>
      </c>
      <c r="E1379" s="522">
        <v>8.0229999999999997</v>
      </c>
      <c r="F1379" s="523" t="s">
        <v>4166</v>
      </c>
      <c r="G1379" s="524" t="s">
        <v>3663</v>
      </c>
      <c r="H1379" s="525" t="s">
        <v>3666</v>
      </c>
      <c r="I1379" s="474"/>
      <c r="J1379" s="475" t="s">
        <v>5560</v>
      </c>
    </row>
    <row r="1380" spans="1:10" ht="14.25" customHeight="1">
      <c r="A1380" s="520" t="s">
        <v>2153</v>
      </c>
      <c r="B1380" s="521" t="s">
        <v>2154</v>
      </c>
      <c r="C1380" s="520" t="s">
        <v>213</v>
      </c>
      <c r="D1380" s="472">
        <v>6.3250000000000002</v>
      </c>
      <c r="E1380" s="522">
        <v>5.99</v>
      </c>
      <c r="F1380" s="523" t="s">
        <v>4166</v>
      </c>
      <c r="G1380" s="524" t="s">
        <v>3663</v>
      </c>
      <c r="H1380" s="525" t="s">
        <v>3666</v>
      </c>
      <c r="I1380" s="474"/>
      <c r="J1380" s="475" t="s">
        <v>5561</v>
      </c>
    </row>
    <row r="1381" spans="1:10" ht="14.25" customHeight="1">
      <c r="A1381" s="520" t="s">
        <v>2155</v>
      </c>
      <c r="B1381" s="521" t="s">
        <v>2156</v>
      </c>
      <c r="C1381" s="520" t="s">
        <v>213</v>
      </c>
      <c r="D1381" s="472">
        <v>17.823</v>
      </c>
      <c r="E1381" s="522">
        <v>16.614000000000001</v>
      </c>
      <c r="F1381" s="523" t="s">
        <v>4166</v>
      </c>
      <c r="G1381" s="524" t="s">
        <v>3663</v>
      </c>
      <c r="H1381" s="525" t="s">
        <v>3666</v>
      </c>
      <c r="I1381" s="474"/>
      <c r="J1381" s="475" t="s">
        <v>5562</v>
      </c>
    </row>
    <row r="1382" spans="1:10" ht="14.25" customHeight="1">
      <c r="A1382" s="520" t="s">
        <v>2157</v>
      </c>
      <c r="B1382" s="521" t="s">
        <v>2158</v>
      </c>
      <c r="C1382" s="520" t="s">
        <v>213</v>
      </c>
      <c r="D1382" s="472">
        <v>19.501999999999999</v>
      </c>
      <c r="E1382" s="522">
        <v>18.187000000000001</v>
      </c>
      <c r="F1382" s="523" t="s">
        <v>4166</v>
      </c>
      <c r="G1382" s="524" t="s">
        <v>3663</v>
      </c>
      <c r="H1382" s="525" t="s">
        <v>3666</v>
      </c>
      <c r="I1382" s="474"/>
      <c r="J1382" s="475" t="s">
        <v>5563</v>
      </c>
    </row>
    <row r="1383" spans="1:10" ht="14.25" customHeight="1">
      <c r="A1383" s="520" t="s">
        <v>2159</v>
      </c>
      <c r="B1383" s="521" t="s">
        <v>2160</v>
      </c>
      <c r="C1383" s="520" t="s">
        <v>213</v>
      </c>
      <c r="D1383" s="472">
        <v>17.233000000000001</v>
      </c>
      <c r="E1383" s="522">
        <v>16.154</v>
      </c>
      <c r="F1383" s="523" t="s">
        <v>4166</v>
      </c>
      <c r="G1383" s="524" t="s">
        <v>3663</v>
      </c>
      <c r="H1383" s="525" t="s">
        <v>3666</v>
      </c>
      <c r="I1383" s="474"/>
      <c r="J1383" s="475" t="s">
        <v>5564</v>
      </c>
    </row>
    <row r="1384" spans="1:10" ht="14.25" customHeight="1">
      <c r="A1384" s="520" t="s">
        <v>2161</v>
      </c>
      <c r="B1384" s="521" t="s">
        <v>2162</v>
      </c>
      <c r="C1384" s="520" t="s">
        <v>213</v>
      </c>
      <c r="D1384" s="472">
        <v>21.928000000000001</v>
      </c>
      <c r="E1384" s="522">
        <v>20.448</v>
      </c>
      <c r="F1384" s="523" t="s">
        <v>4166</v>
      </c>
      <c r="G1384" s="524" t="s">
        <v>3663</v>
      </c>
      <c r="H1384" s="525" t="s">
        <v>3666</v>
      </c>
      <c r="I1384" s="474"/>
      <c r="J1384" s="475" t="s">
        <v>5565</v>
      </c>
    </row>
    <row r="1385" spans="1:10" ht="14.25" customHeight="1">
      <c r="A1385" s="520" t="s">
        <v>2163</v>
      </c>
      <c r="B1385" s="521" t="s">
        <v>2164</v>
      </c>
      <c r="C1385" s="520" t="s">
        <v>213</v>
      </c>
      <c r="D1385" s="472">
        <v>23.606000000000002</v>
      </c>
      <c r="E1385" s="522">
        <v>22.02</v>
      </c>
      <c r="F1385" s="523" t="s">
        <v>4166</v>
      </c>
      <c r="G1385" s="524" t="s">
        <v>3663</v>
      </c>
      <c r="H1385" s="525" t="s">
        <v>3666</v>
      </c>
      <c r="I1385" s="474"/>
      <c r="J1385" s="475" t="s">
        <v>5566</v>
      </c>
    </row>
    <row r="1386" spans="1:10" ht="14.25" customHeight="1">
      <c r="A1386" s="520" t="s">
        <v>2165</v>
      </c>
      <c r="B1386" s="521" t="s">
        <v>2166</v>
      </c>
      <c r="C1386" s="520" t="s">
        <v>213</v>
      </c>
      <c r="D1386" s="472">
        <v>21.335999999999999</v>
      </c>
      <c r="E1386" s="522">
        <v>19.989000000000001</v>
      </c>
      <c r="F1386" s="523" t="s">
        <v>4166</v>
      </c>
      <c r="G1386" s="524" t="s">
        <v>3663</v>
      </c>
      <c r="H1386" s="525" t="s">
        <v>3666</v>
      </c>
      <c r="I1386" s="474"/>
      <c r="J1386" s="475" t="s">
        <v>5567</v>
      </c>
    </row>
    <row r="1387" spans="1:10" ht="14.25" customHeight="1">
      <c r="A1387" s="520" t="s">
        <v>2167</v>
      </c>
      <c r="B1387" s="521" t="s">
        <v>2168</v>
      </c>
      <c r="C1387" s="520" t="s">
        <v>213</v>
      </c>
      <c r="D1387" s="472">
        <v>6.915</v>
      </c>
      <c r="E1387" s="522">
        <v>6.45</v>
      </c>
      <c r="F1387" s="523">
        <v>48.26</v>
      </c>
      <c r="G1387" s="524" t="s">
        <v>3663</v>
      </c>
      <c r="H1387" s="525" t="s">
        <v>3666</v>
      </c>
      <c r="I1387" s="474"/>
      <c r="J1387" s="475" t="s">
        <v>5568</v>
      </c>
    </row>
    <row r="1388" spans="1:10" ht="15" customHeight="1">
      <c r="A1388" s="520" t="s">
        <v>2169</v>
      </c>
      <c r="B1388" s="521" t="s">
        <v>2170</v>
      </c>
      <c r="C1388" s="520" t="s">
        <v>213</v>
      </c>
      <c r="D1388" s="472">
        <v>8.5950000000000006</v>
      </c>
      <c r="E1388" s="522">
        <v>8.0229999999999997</v>
      </c>
      <c r="F1388" s="523" t="s">
        <v>4166</v>
      </c>
      <c r="G1388" s="524" t="s">
        <v>3663</v>
      </c>
      <c r="H1388" s="525" t="s">
        <v>3666</v>
      </c>
      <c r="I1388" s="474"/>
      <c r="J1388" s="475" t="s">
        <v>5569</v>
      </c>
    </row>
    <row r="1389" spans="1:10" ht="14.25" customHeight="1">
      <c r="A1389" s="520" t="s">
        <v>2171</v>
      </c>
      <c r="B1389" s="521" t="s">
        <v>2172</v>
      </c>
      <c r="C1389" s="520" t="s">
        <v>213</v>
      </c>
      <c r="D1389" s="472">
        <v>6.3250000000000002</v>
      </c>
      <c r="E1389" s="522">
        <v>5.99</v>
      </c>
      <c r="F1389" s="523" t="s">
        <v>4166</v>
      </c>
      <c r="G1389" s="524" t="s">
        <v>3663</v>
      </c>
      <c r="H1389" s="525" t="s">
        <v>3666</v>
      </c>
      <c r="I1389" s="474"/>
      <c r="J1389" s="475" t="s">
        <v>5570</v>
      </c>
    </row>
    <row r="1390" spans="1:10" ht="14.25" customHeight="1">
      <c r="A1390" s="520" t="s">
        <v>4065</v>
      </c>
      <c r="B1390" s="521" t="s">
        <v>4066</v>
      </c>
      <c r="C1390" s="520" t="s">
        <v>213</v>
      </c>
      <c r="D1390" s="472">
        <v>6.915</v>
      </c>
      <c r="E1390" s="522">
        <v>6.45</v>
      </c>
      <c r="F1390" s="523">
        <v>48.26</v>
      </c>
      <c r="G1390" s="524" t="s">
        <v>3663</v>
      </c>
      <c r="H1390" s="525" t="s">
        <v>3666</v>
      </c>
      <c r="I1390" s="474"/>
      <c r="J1390" s="475" t="s">
        <v>5571</v>
      </c>
    </row>
    <row r="1391" spans="1:10" ht="14.25" customHeight="1">
      <c r="A1391" s="520" t="s">
        <v>2173</v>
      </c>
      <c r="B1391" s="521" t="s">
        <v>2174</v>
      </c>
      <c r="C1391" s="520" t="s">
        <v>213</v>
      </c>
      <c r="D1391" s="472">
        <v>17.823</v>
      </c>
      <c r="E1391" s="522">
        <v>16.614000000000001</v>
      </c>
      <c r="F1391" s="523" t="s">
        <v>4166</v>
      </c>
      <c r="G1391" s="524" t="s">
        <v>3663</v>
      </c>
      <c r="H1391" s="525" t="s">
        <v>3666</v>
      </c>
      <c r="I1391" s="474"/>
      <c r="J1391" s="475" t="s">
        <v>5572</v>
      </c>
    </row>
    <row r="1392" spans="1:10" ht="14.25" customHeight="1">
      <c r="A1392" s="520" t="s">
        <v>2175</v>
      </c>
      <c r="B1392" s="521" t="s">
        <v>2176</v>
      </c>
      <c r="C1392" s="520" t="s">
        <v>213</v>
      </c>
      <c r="D1392" s="472">
        <v>19.501999999999999</v>
      </c>
      <c r="E1392" s="522">
        <v>18.187000000000001</v>
      </c>
      <c r="F1392" s="523" t="s">
        <v>4166</v>
      </c>
      <c r="G1392" s="524" t="s">
        <v>3663</v>
      </c>
      <c r="H1392" s="525" t="s">
        <v>3666</v>
      </c>
      <c r="I1392" s="474"/>
      <c r="J1392" s="475" t="s">
        <v>5573</v>
      </c>
    </row>
    <row r="1393" spans="1:10" ht="14.25" customHeight="1">
      <c r="A1393" s="520" t="s">
        <v>2177</v>
      </c>
      <c r="B1393" s="521" t="s">
        <v>2178</v>
      </c>
      <c r="C1393" s="520" t="s">
        <v>213</v>
      </c>
      <c r="D1393" s="472">
        <v>17.233000000000001</v>
      </c>
      <c r="E1393" s="522">
        <v>16.154</v>
      </c>
      <c r="F1393" s="523" t="s">
        <v>4166</v>
      </c>
      <c r="G1393" s="524" t="s">
        <v>3663</v>
      </c>
      <c r="H1393" s="525" t="s">
        <v>3666</v>
      </c>
      <c r="I1393" s="474"/>
      <c r="J1393" s="475" t="s">
        <v>5574</v>
      </c>
    </row>
    <row r="1394" spans="1:10" ht="14.25" customHeight="1">
      <c r="A1394" s="520" t="s">
        <v>4067</v>
      </c>
      <c r="B1394" s="521" t="s">
        <v>4068</v>
      </c>
      <c r="C1394" s="520" t="s">
        <v>213</v>
      </c>
      <c r="D1394" s="472">
        <v>17.823</v>
      </c>
      <c r="E1394" s="522">
        <v>16.614000000000001</v>
      </c>
      <c r="F1394" s="523" t="s">
        <v>4166</v>
      </c>
      <c r="G1394" s="524" t="s">
        <v>3663</v>
      </c>
      <c r="H1394" s="525" t="s">
        <v>3666</v>
      </c>
      <c r="I1394" s="474"/>
      <c r="J1394" s="475" t="s">
        <v>5575</v>
      </c>
    </row>
    <row r="1395" spans="1:10" ht="14.25" customHeight="1">
      <c r="A1395" s="520" t="s">
        <v>2179</v>
      </c>
      <c r="B1395" s="521" t="s">
        <v>2180</v>
      </c>
      <c r="C1395" s="520" t="s">
        <v>213</v>
      </c>
      <c r="D1395" s="472">
        <v>21.928000000000001</v>
      </c>
      <c r="E1395" s="522">
        <v>20.448</v>
      </c>
      <c r="F1395" s="523" t="s">
        <v>4166</v>
      </c>
      <c r="G1395" s="524" t="s">
        <v>3663</v>
      </c>
      <c r="H1395" s="525" t="s">
        <v>3666</v>
      </c>
      <c r="I1395" s="474"/>
      <c r="J1395" s="475" t="s">
        <v>5576</v>
      </c>
    </row>
    <row r="1396" spans="1:10" ht="14.25" customHeight="1">
      <c r="A1396" s="520" t="s">
        <v>2181</v>
      </c>
      <c r="B1396" s="521" t="s">
        <v>2182</v>
      </c>
      <c r="C1396" s="520" t="s">
        <v>213</v>
      </c>
      <c r="D1396" s="472">
        <v>23.606000000000002</v>
      </c>
      <c r="E1396" s="522">
        <v>22.02</v>
      </c>
      <c r="F1396" s="523" t="s">
        <v>4166</v>
      </c>
      <c r="G1396" s="524" t="s">
        <v>3663</v>
      </c>
      <c r="H1396" s="525" t="s">
        <v>3666</v>
      </c>
      <c r="I1396" s="474"/>
      <c r="J1396" s="475" t="s">
        <v>5577</v>
      </c>
    </row>
    <row r="1397" spans="1:10" ht="14.25" customHeight="1">
      <c r="A1397" s="520" t="s">
        <v>2183</v>
      </c>
      <c r="B1397" s="521" t="s">
        <v>2184</v>
      </c>
      <c r="C1397" s="520" t="s">
        <v>213</v>
      </c>
      <c r="D1397" s="472">
        <v>21.335999999999999</v>
      </c>
      <c r="E1397" s="522">
        <v>19.989000000000001</v>
      </c>
      <c r="F1397" s="523" t="s">
        <v>4166</v>
      </c>
      <c r="G1397" s="524" t="s">
        <v>3663</v>
      </c>
      <c r="H1397" s="525" t="s">
        <v>3666</v>
      </c>
      <c r="I1397" s="474"/>
      <c r="J1397" s="475" t="s">
        <v>5578</v>
      </c>
    </row>
    <row r="1398" spans="1:10" ht="14.25" customHeight="1">
      <c r="A1398" s="520" t="s">
        <v>2185</v>
      </c>
      <c r="B1398" s="521" t="s">
        <v>2186</v>
      </c>
      <c r="C1398" s="520" t="s">
        <v>213</v>
      </c>
      <c r="D1398" s="472">
        <v>9.3140000000000001</v>
      </c>
      <c r="E1398" s="522">
        <v>8.4090000000000007</v>
      </c>
      <c r="F1398" s="523" t="s">
        <v>4166</v>
      </c>
      <c r="G1398" s="524" t="s">
        <v>3663</v>
      </c>
      <c r="H1398" s="525" t="s">
        <v>3666</v>
      </c>
      <c r="I1398" s="474"/>
      <c r="J1398" s="475" t="s">
        <v>5579</v>
      </c>
    </row>
    <row r="1399" spans="1:10" ht="15" customHeight="1">
      <c r="A1399" s="520" t="s">
        <v>2187</v>
      </c>
      <c r="B1399" s="521" t="s">
        <v>2188</v>
      </c>
      <c r="C1399" s="520" t="s">
        <v>213</v>
      </c>
      <c r="D1399" s="472">
        <v>10.992000000000001</v>
      </c>
      <c r="E1399" s="522">
        <v>9.9809999999999999</v>
      </c>
      <c r="F1399" s="523" t="s">
        <v>4166</v>
      </c>
      <c r="G1399" s="524" t="s">
        <v>3663</v>
      </c>
      <c r="H1399" s="525" t="s">
        <v>3666</v>
      </c>
      <c r="I1399" s="474"/>
      <c r="J1399" s="475" t="s">
        <v>5580</v>
      </c>
    </row>
    <row r="1400" spans="1:10" ht="14.25" customHeight="1">
      <c r="A1400" s="520" t="s">
        <v>2189</v>
      </c>
      <c r="B1400" s="521" t="s">
        <v>2190</v>
      </c>
      <c r="C1400" s="520" t="s">
        <v>213</v>
      </c>
      <c r="D1400" s="472">
        <v>8.7230000000000008</v>
      </c>
      <c r="E1400" s="522">
        <v>7.95</v>
      </c>
      <c r="F1400" s="523" t="s">
        <v>4166</v>
      </c>
      <c r="G1400" s="524" t="s">
        <v>3663</v>
      </c>
      <c r="H1400" s="525" t="s">
        <v>3666</v>
      </c>
      <c r="I1400" s="474"/>
      <c r="J1400" s="475" t="s">
        <v>5581</v>
      </c>
    </row>
    <row r="1401" spans="1:10" ht="14.25" customHeight="1">
      <c r="A1401" s="520" t="s">
        <v>2191</v>
      </c>
      <c r="B1401" s="521" t="s">
        <v>2192</v>
      </c>
      <c r="C1401" s="520" t="s">
        <v>213</v>
      </c>
      <c r="D1401" s="472">
        <v>20.22</v>
      </c>
      <c r="E1401" s="522">
        <v>18.577000000000002</v>
      </c>
      <c r="F1401" s="523" t="s">
        <v>4166</v>
      </c>
      <c r="G1401" s="524" t="s">
        <v>3663</v>
      </c>
      <c r="H1401" s="525" t="s">
        <v>3666</v>
      </c>
      <c r="I1401" s="474"/>
      <c r="J1401" s="475" t="s">
        <v>5582</v>
      </c>
    </row>
    <row r="1402" spans="1:10" ht="14.25" customHeight="1">
      <c r="A1402" s="520" t="s">
        <v>2193</v>
      </c>
      <c r="B1402" s="521" t="s">
        <v>2194</v>
      </c>
      <c r="C1402" s="520" t="s">
        <v>213</v>
      </c>
      <c r="D1402" s="472">
        <v>21.898</v>
      </c>
      <c r="E1402" s="522">
        <v>20.149999999999999</v>
      </c>
      <c r="F1402" s="523" t="s">
        <v>4166</v>
      </c>
      <c r="G1402" s="524" t="s">
        <v>3663</v>
      </c>
      <c r="H1402" s="525" t="s">
        <v>3666</v>
      </c>
      <c r="I1402" s="474"/>
      <c r="J1402" s="475" t="s">
        <v>5583</v>
      </c>
    </row>
    <row r="1403" spans="1:10" ht="14.25" customHeight="1">
      <c r="A1403" s="520" t="s">
        <v>2195</v>
      </c>
      <c r="B1403" s="521" t="s">
        <v>2196</v>
      </c>
      <c r="C1403" s="520" t="s">
        <v>213</v>
      </c>
      <c r="D1403" s="472">
        <v>19.628</v>
      </c>
      <c r="E1403" s="522">
        <v>18.117000000000001</v>
      </c>
      <c r="F1403" s="523" t="s">
        <v>4166</v>
      </c>
      <c r="G1403" s="524" t="s">
        <v>3663</v>
      </c>
      <c r="H1403" s="525" t="s">
        <v>3666</v>
      </c>
      <c r="I1403" s="474"/>
      <c r="J1403" s="475" t="s">
        <v>5584</v>
      </c>
    </row>
    <row r="1404" spans="1:10" ht="14.25" customHeight="1">
      <c r="A1404" s="520" t="s">
        <v>2197</v>
      </c>
      <c r="B1404" s="521" t="s">
        <v>2198</v>
      </c>
      <c r="C1404" s="520" t="s">
        <v>213</v>
      </c>
      <c r="D1404" s="472">
        <v>24.326000000000001</v>
      </c>
      <c r="E1404" s="522">
        <v>22.408999999999999</v>
      </c>
      <c r="F1404" s="523" t="s">
        <v>4166</v>
      </c>
      <c r="G1404" s="524" t="s">
        <v>3663</v>
      </c>
      <c r="H1404" s="525" t="s">
        <v>3666</v>
      </c>
      <c r="I1404" s="474"/>
      <c r="J1404" s="475" t="s">
        <v>5585</v>
      </c>
    </row>
    <row r="1405" spans="1:10" ht="14.25" customHeight="1">
      <c r="A1405" s="520" t="s">
        <v>2199</v>
      </c>
      <c r="B1405" s="521" t="s">
        <v>2200</v>
      </c>
      <c r="C1405" s="520" t="s">
        <v>213</v>
      </c>
      <c r="D1405" s="472">
        <v>26.004000000000001</v>
      </c>
      <c r="E1405" s="522">
        <v>23.981000000000002</v>
      </c>
      <c r="F1405" s="523" t="s">
        <v>4166</v>
      </c>
      <c r="G1405" s="524" t="s">
        <v>3663</v>
      </c>
      <c r="H1405" s="525" t="s">
        <v>3666</v>
      </c>
      <c r="I1405" s="474"/>
      <c r="J1405" s="475" t="s">
        <v>5586</v>
      </c>
    </row>
    <row r="1406" spans="1:10" ht="14.25" customHeight="1">
      <c r="A1406" s="520" t="s">
        <v>2201</v>
      </c>
      <c r="B1406" s="521" t="s">
        <v>2202</v>
      </c>
      <c r="C1406" s="520" t="s">
        <v>213</v>
      </c>
      <c r="D1406" s="472">
        <v>23.734000000000002</v>
      </c>
      <c r="E1406" s="522">
        <v>21.95</v>
      </c>
      <c r="F1406" s="523" t="s">
        <v>4166</v>
      </c>
      <c r="G1406" s="524" t="s">
        <v>3663</v>
      </c>
      <c r="H1406" s="525" t="s">
        <v>3666</v>
      </c>
      <c r="I1406" s="474"/>
      <c r="J1406" s="475" t="s">
        <v>5587</v>
      </c>
    </row>
    <row r="1407" spans="1:10" ht="14.25" customHeight="1">
      <c r="A1407" s="520" t="s">
        <v>2203</v>
      </c>
      <c r="B1407" s="521" t="s">
        <v>2204</v>
      </c>
      <c r="C1407" s="520" t="s">
        <v>213</v>
      </c>
      <c r="D1407" s="472">
        <v>11.802</v>
      </c>
      <c r="E1407" s="522">
        <v>11.002000000000001</v>
      </c>
      <c r="F1407" s="523" t="s">
        <v>4166</v>
      </c>
      <c r="G1407" s="524" t="s">
        <v>3663</v>
      </c>
      <c r="H1407" s="525" t="s">
        <v>3666</v>
      </c>
      <c r="I1407" s="474"/>
      <c r="J1407" s="475" t="s">
        <v>5588</v>
      </c>
    </row>
    <row r="1408" spans="1:10" ht="14.25" customHeight="1">
      <c r="A1408" s="520" t="s">
        <v>2205</v>
      </c>
      <c r="B1408" s="521" t="s">
        <v>2206</v>
      </c>
      <c r="C1408" s="520" t="s">
        <v>213</v>
      </c>
      <c r="D1408" s="472">
        <v>3.5209999999999999</v>
      </c>
      <c r="E1408" s="522">
        <v>3.2829999999999999</v>
      </c>
      <c r="F1408" s="523" t="s">
        <v>4166</v>
      </c>
      <c r="G1408" s="524" t="s">
        <v>3663</v>
      </c>
      <c r="H1408" s="525" t="s">
        <v>3666</v>
      </c>
      <c r="I1408" s="474"/>
      <c r="J1408" s="475" t="s">
        <v>5589</v>
      </c>
    </row>
    <row r="1409" spans="1:10" ht="14.25" customHeight="1">
      <c r="A1409" s="520" t="s">
        <v>2207</v>
      </c>
      <c r="B1409" s="521" t="s">
        <v>2208</v>
      </c>
      <c r="C1409" s="520" t="s">
        <v>213</v>
      </c>
      <c r="D1409" s="472">
        <v>1.8080000000000001</v>
      </c>
      <c r="E1409" s="522">
        <v>1.6870000000000001</v>
      </c>
      <c r="F1409" s="523">
        <v>6.4</v>
      </c>
      <c r="G1409" s="524" t="s">
        <v>3663</v>
      </c>
      <c r="H1409" s="525" t="s">
        <v>3666</v>
      </c>
      <c r="I1409" s="474"/>
      <c r="J1409" s="475" t="s">
        <v>5590</v>
      </c>
    </row>
    <row r="1410" spans="1:10" ht="14.25" customHeight="1">
      <c r="A1410" s="520" t="s">
        <v>2209</v>
      </c>
      <c r="B1410" s="521" t="s">
        <v>2210</v>
      </c>
      <c r="C1410" s="520" t="s">
        <v>213</v>
      </c>
      <c r="D1410" s="472">
        <v>3.617</v>
      </c>
      <c r="E1410" s="522">
        <v>3.3730000000000002</v>
      </c>
      <c r="F1410" s="523">
        <v>5.8</v>
      </c>
      <c r="G1410" s="524" t="s">
        <v>3663</v>
      </c>
      <c r="H1410" s="525" t="s">
        <v>3666</v>
      </c>
      <c r="I1410" s="474"/>
      <c r="J1410" s="475" t="s">
        <v>5591</v>
      </c>
    </row>
    <row r="1411" spans="1:10" ht="14.25" customHeight="1">
      <c r="A1411" s="520" t="s">
        <v>2211</v>
      </c>
      <c r="B1411" s="521" t="s">
        <v>2212</v>
      </c>
      <c r="C1411" s="520" t="s">
        <v>213</v>
      </c>
      <c r="D1411" s="472">
        <v>1.2669999999999999</v>
      </c>
      <c r="E1411" s="522">
        <v>1.179</v>
      </c>
      <c r="F1411" s="523" t="s">
        <v>4166</v>
      </c>
      <c r="G1411" s="524" t="s">
        <v>3663</v>
      </c>
      <c r="H1411" s="525" t="s">
        <v>3666</v>
      </c>
      <c r="I1411" s="474"/>
      <c r="J1411" s="475" t="s">
        <v>5592</v>
      </c>
    </row>
    <row r="1412" spans="1:10" ht="14.25" customHeight="1">
      <c r="A1412" s="520" t="s">
        <v>2213</v>
      </c>
      <c r="B1412" s="521" t="s">
        <v>2214</v>
      </c>
      <c r="C1412" s="520" t="s">
        <v>213</v>
      </c>
      <c r="D1412" s="472">
        <v>0.44600000000000001</v>
      </c>
      <c r="E1412" s="522">
        <v>0.41299999999999998</v>
      </c>
      <c r="F1412" s="523" t="s">
        <v>4166</v>
      </c>
      <c r="G1412" s="524" t="s">
        <v>3663</v>
      </c>
      <c r="H1412" s="525" t="s">
        <v>3666</v>
      </c>
      <c r="I1412" s="474"/>
      <c r="J1412" s="475" t="s">
        <v>5593</v>
      </c>
    </row>
    <row r="1413" spans="1:10" ht="14.25" customHeight="1">
      <c r="A1413" s="520" t="s">
        <v>2215</v>
      </c>
      <c r="B1413" s="521" t="s">
        <v>2216</v>
      </c>
      <c r="C1413" s="520" t="s">
        <v>213</v>
      </c>
      <c r="D1413" s="472">
        <v>1.0569999999999999</v>
      </c>
      <c r="E1413" s="522">
        <v>0.98599999999999999</v>
      </c>
      <c r="F1413" s="523" t="s">
        <v>4166</v>
      </c>
      <c r="G1413" s="524" t="s">
        <v>3663</v>
      </c>
      <c r="H1413" s="525" t="s">
        <v>3666</v>
      </c>
      <c r="I1413" s="474"/>
      <c r="J1413" s="475" t="s">
        <v>5594</v>
      </c>
    </row>
    <row r="1414" spans="1:10" ht="14.25" customHeight="1">
      <c r="A1414" s="520" t="s">
        <v>2217</v>
      </c>
      <c r="B1414" s="521" t="s">
        <v>2218</v>
      </c>
      <c r="C1414" s="520" t="s">
        <v>213</v>
      </c>
      <c r="D1414" s="472">
        <v>0.44600000000000001</v>
      </c>
      <c r="E1414" s="522">
        <v>0.41299999999999998</v>
      </c>
      <c r="F1414" s="523" t="s">
        <v>4166</v>
      </c>
      <c r="G1414" s="524" t="s">
        <v>3663</v>
      </c>
      <c r="H1414" s="525" t="s">
        <v>3666</v>
      </c>
      <c r="I1414" s="474"/>
      <c r="J1414" s="475" t="s">
        <v>5595</v>
      </c>
    </row>
    <row r="1415" spans="1:10" ht="14.25" customHeight="1">
      <c r="A1415" s="520" t="s">
        <v>2219</v>
      </c>
      <c r="B1415" s="521" t="s">
        <v>2220</v>
      </c>
      <c r="C1415" s="520" t="s">
        <v>213</v>
      </c>
      <c r="D1415" s="472">
        <v>0.44600000000000001</v>
      </c>
      <c r="E1415" s="522">
        <v>0.41299999999999998</v>
      </c>
      <c r="F1415" s="523" t="s">
        <v>4166</v>
      </c>
      <c r="G1415" s="524" t="s">
        <v>3663</v>
      </c>
      <c r="H1415" s="525" t="s">
        <v>3666</v>
      </c>
      <c r="I1415" s="474"/>
      <c r="J1415" s="475" t="s">
        <v>5596</v>
      </c>
    </row>
    <row r="1416" spans="1:10" ht="14.25" customHeight="1">
      <c r="A1416" s="520" t="s">
        <v>2221</v>
      </c>
      <c r="B1416" s="521" t="s">
        <v>2222</v>
      </c>
      <c r="C1416" s="520" t="s">
        <v>213</v>
      </c>
      <c r="D1416" s="472">
        <v>0.44600000000000001</v>
      </c>
      <c r="E1416" s="522">
        <v>0.41299999999999998</v>
      </c>
      <c r="F1416" s="523" t="s">
        <v>4166</v>
      </c>
      <c r="G1416" s="524" t="s">
        <v>3663</v>
      </c>
      <c r="H1416" s="525" t="s">
        <v>3666</v>
      </c>
      <c r="I1416" s="474"/>
      <c r="J1416" s="475" t="s">
        <v>5597</v>
      </c>
    </row>
    <row r="1417" spans="1:10" ht="14.25" customHeight="1">
      <c r="A1417" s="520" t="s">
        <v>2223</v>
      </c>
      <c r="B1417" s="521" t="s">
        <v>2224</v>
      </c>
      <c r="C1417" s="520" t="s">
        <v>213</v>
      </c>
      <c r="D1417" s="472">
        <v>1.2669999999999999</v>
      </c>
      <c r="E1417" s="522">
        <v>1.179</v>
      </c>
      <c r="F1417" s="523" t="s">
        <v>4166</v>
      </c>
      <c r="G1417" s="524" t="s">
        <v>3663</v>
      </c>
      <c r="H1417" s="525" t="s">
        <v>3666</v>
      </c>
      <c r="I1417" s="474"/>
      <c r="J1417" s="475" t="s">
        <v>5598</v>
      </c>
    </row>
    <row r="1418" spans="1:10" ht="14.25" customHeight="1">
      <c r="A1418" s="520" t="s">
        <v>2225</v>
      </c>
      <c r="B1418" s="521" t="s">
        <v>2226</v>
      </c>
      <c r="C1418" s="520" t="s">
        <v>213</v>
      </c>
      <c r="D1418" s="472">
        <v>3.617</v>
      </c>
      <c r="E1418" s="522">
        <v>3.371</v>
      </c>
      <c r="F1418" s="523" t="s">
        <v>4166</v>
      </c>
      <c r="G1418" s="524" t="s">
        <v>3663</v>
      </c>
      <c r="H1418" s="525" t="s">
        <v>3666</v>
      </c>
      <c r="I1418" s="474"/>
      <c r="J1418" s="475" t="s">
        <v>5599</v>
      </c>
    </row>
    <row r="1419" spans="1:10" ht="14.25" customHeight="1">
      <c r="A1419" s="520" t="s">
        <v>4069</v>
      </c>
      <c r="B1419" s="521" t="s">
        <v>4070</v>
      </c>
      <c r="C1419" s="520" t="s">
        <v>213</v>
      </c>
      <c r="D1419" s="472">
        <v>1.2669999999999999</v>
      </c>
      <c r="E1419" s="522">
        <v>1.179</v>
      </c>
      <c r="F1419" s="523">
        <v>3.6</v>
      </c>
      <c r="G1419" s="524" t="s">
        <v>3663</v>
      </c>
      <c r="H1419" s="525" t="s">
        <v>3666</v>
      </c>
      <c r="I1419" s="474"/>
      <c r="J1419" s="475" t="s">
        <v>5600</v>
      </c>
    </row>
    <row r="1420" spans="1:10" ht="14.25" customHeight="1">
      <c r="A1420" s="520" t="s">
        <v>2227</v>
      </c>
      <c r="B1420" s="521" t="s">
        <v>2228</v>
      </c>
      <c r="C1420" s="520" t="s">
        <v>213</v>
      </c>
      <c r="D1420" s="472">
        <v>1.8080000000000001</v>
      </c>
      <c r="E1420" s="522">
        <v>1.6870000000000001</v>
      </c>
      <c r="F1420" s="523" t="s">
        <v>4166</v>
      </c>
      <c r="G1420" s="524" t="s">
        <v>3663</v>
      </c>
      <c r="H1420" s="525" t="s">
        <v>3666</v>
      </c>
      <c r="I1420" s="474"/>
      <c r="J1420" s="475" t="s">
        <v>5601</v>
      </c>
    </row>
    <row r="1421" spans="1:10" ht="14.25" customHeight="1">
      <c r="A1421" s="520" t="s">
        <v>2229</v>
      </c>
      <c r="B1421" s="521" t="s">
        <v>2230</v>
      </c>
      <c r="C1421" s="520" t="s">
        <v>213</v>
      </c>
      <c r="D1421" s="472">
        <v>11.808</v>
      </c>
      <c r="E1421" s="522">
        <v>10.914</v>
      </c>
      <c r="F1421" s="523" t="s">
        <v>4166</v>
      </c>
      <c r="G1421" s="524" t="s">
        <v>3663</v>
      </c>
      <c r="H1421" s="525" t="s">
        <v>3678</v>
      </c>
      <c r="I1421" s="474"/>
      <c r="J1421" s="475" t="s">
        <v>5602</v>
      </c>
    </row>
    <row r="1422" spans="1:10" ht="14.25" customHeight="1">
      <c r="A1422" s="520" t="s">
        <v>2231</v>
      </c>
      <c r="B1422" s="521" t="s">
        <v>2232</v>
      </c>
      <c r="C1422" s="520" t="s">
        <v>213</v>
      </c>
      <c r="D1422" s="472">
        <v>57.863999999999997</v>
      </c>
      <c r="E1422" s="522">
        <v>49.414000000000001</v>
      </c>
      <c r="F1422" s="523" t="s">
        <v>4166</v>
      </c>
      <c r="G1422" s="524" t="s">
        <v>3663</v>
      </c>
      <c r="H1422" s="525" t="s">
        <v>3678</v>
      </c>
      <c r="I1422" s="474"/>
      <c r="J1422" s="475" t="s">
        <v>5603</v>
      </c>
    </row>
    <row r="1423" spans="1:10" ht="14.25" customHeight="1">
      <c r="A1423" s="520" t="s">
        <v>2233</v>
      </c>
      <c r="B1423" s="521" t="s">
        <v>2234</v>
      </c>
      <c r="C1423" s="520" t="s">
        <v>213</v>
      </c>
      <c r="D1423" s="472">
        <v>10.760999999999999</v>
      </c>
      <c r="E1423" s="522">
        <v>10.034000000000001</v>
      </c>
      <c r="F1423" s="523" t="s">
        <v>4166</v>
      </c>
      <c r="G1423" s="524" t="s">
        <v>3663</v>
      </c>
      <c r="H1423" s="525" t="s">
        <v>3666</v>
      </c>
      <c r="I1423" s="474"/>
      <c r="J1423" s="475" t="s">
        <v>5604</v>
      </c>
    </row>
    <row r="1424" spans="1:10" ht="14.25" customHeight="1">
      <c r="A1424" s="520" t="s">
        <v>2235</v>
      </c>
      <c r="B1424" s="521" t="s">
        <v>2236</v>
      </c>
      <c r="C1424" s="520" t="s">
        <v>213</v>
      </c>
      <c r="D1424" s="472">
        <v>3.9790000000000001</v>
      </c>
      <c r="E1424" s="522">
        <v>3.7109999999999999</v>
      </c>
      <c r="F1424" s="523" t="s">
        <v>4166</v>
      </c>
      <c r="G1424" s="524" t="s">
        <v>3663</v>
      </c>
      <c r="H1424" s="525" t="s">
        <v>3666</v>
      </c>
      <c r="I1424" s="474"/>
      <c r="J1424" s="475" t="s">
        <v>5605</v>
      </c>
    </row>
    <row r="1425" spans="1:10" ht="14.25" customHeight="1">
      <c r="A1425" s="528" t="s">
        <v>2237</v>
      </c>
      <c r="B1425" s="529" t="s">
        <v>2238</v>
      </c>
      <c r="C1425" s="528" t="s">
        <v>213</v>
      </c>
      <c r="D1425" s="472">
        <v>14.583</v>
      </c>
      <c r="E1425" s="522">
        <v>11.191000000000001</v>
      </c>
      <c r="F1425" s="523" t="s">
        <v>4166</v>
      </c>
      <c r="G1425" s="524" t="s">
        <v>3663</v>
      </c>
      <c r="H1425" s="525" t="s">
        <v>3666</v>
      </c>
      <c r="I1425" s="474"/>
      <c r="J1425" s="475" t="s">
        <v>5606</v>
      </c>
    </row>
    <row r="1426" spans="1:10" ht="14.25" customHeight="1">
      <c r="A1426" s="528" t="s">
        <v>2239</v>
      </c>
      <c r="B1426" s="529" t="s">
        <v>2240</v>
      </c>
      <c r="C1426" s="528" t="s">
        <v>213</v>
      </c>
      <c r="D1426" s="472">
        <v>4.2679999999999998</v>
      </c>
      <c r="E1426" s="522">
        <v>3.2749999999999999</v>
      </c>
      <c r="F1426" s="523" t="s">
        <v>4166</v>
      </c>
      <c r="G1426" s="524" t="s">
        <v>3663</v>
      </c>
      <c r="H1426" s="525" t="s">
        <v>3666</v>
      </c>
      <c r="I1426" s="474"/>
      <c r="J1426" s="475" t="s">
        <v>5607</v>
      </c>
    </row>
    <row r="1427" spans="1:10" ht="14.25" customHeight="1">
      <c r="A1427" s="528" t="s">
        <v>2241</v>
      </c>
      <c r="B1427" s="529" t="s">
        <v>2242</v>
      </c>
      <c r="C1427" s="528" t="s">
        <v>213</v>
      </c>
      <c r="D1427" s="472">
        <v>2.8479999999999999</v>
      </c>
      <c r="E1427" s="522">
        <v>2.1850000000000001</v>
      </c>
      <c r="F1427" s="523" t="s">
        <v>4166</v>
      </c>
      <c r="G1427" s="524" t="s">
        <v>3663</v>
      </c>
      <c r="H1427" s="525" t="s">
        <v>3666</v>
      </c>
      <c r="I1427" s="474"/>
      <c r="J1427" s="475" t="s">
        <v>5608</v>
      </c>
    </row>
    <row r="1428" spans="1:10" ht="14.25" customHeight="1">
      <c r="A1428" s="528" t="s">
        <v>2243</v>
      </c>
      <c r="B1428" s="529" t="s">
        <v>2244</v>
      </c>
      <c r="C1428" s="528" t="s">
        <v>213</v>
      </c>
      <c r="D1428" s="472">
        <v>0.45700000000000002</v>
      </c>
      <c r="E1428" s="522">
        <v>0.35099999999999998</v>
      </c>
      <c r="F1428" s="523" t="s">
        <v>4166</v>
      </c>
      <c r="G1428" s="526" t="s">
        <v>3668</v>
      </c>
      <c r="H1428" s="525" t="s">
        <v>3669</v>
      </c>
      <c r="I1428" s="474">
        <v>4016.93</v>
      </c>
      <c r="J1428" s="475" t="s">
        <v>5609</v>
      </c>
    </row>
    <row r="1429" spans="1:10" ht="14.25" customHeight="1">
      <c r="A1429" s="528" t="s">
        <v>2245</v>
      </c>
      <c r="B1429" s="529" t="s">
        <v>2246</v>
      </c>
      <c r="C1429" s="528" t="s">
        <v>213</v>
      </c>
      <c r="D1429" s="472">
        <v>0.91500000000000004</v>
      </c>
      <c r="E1429" s="522">
        <v>0.70199999999999996</v>
      </c>
      <c r="F1429" s="523" t="s">
        <v>4166</v>
      </c>
      <c r="G1429" s="524"/>
      <c r="H1429" s="525" t="s">
        <v>3666</v>
      </c>
      <c r="I1429" s="474"/>
      <c r="J1429" s="475" t="s">
        <v>5610</v>
      </c>
    </row>
    <row r="1430" spans="1:10" ht="14.25" customHeight="1">
      <c r="A1430" s="520" t="s">
        <v>2247</v>
      </c>
      <c r="B1430" s="521" t="s">
        <v>2248</v>
      </c>
      <c r="C1430" s="520" t="s">
        <v>213</v>
      </c>
      <c r="D1430" s="472">
        <v>13.484</v>
      </c>
      <c r="E1430" s="522">
        <v>12.574</v>
      </c>
      <c r="F1430" s="523">
        <v>53.2</v>
      </c>
      <c r="G1430" s="524" t="s">
        <v>3663</v>
      </c>
      <c r="H1430" s="525" t="s">
        <v>3666</v>
      </c>
      <c r="I1430" s="474"/>
      <c r="J1430" s="475" t="s">
        <v>5611</v>
      </c>
    </row>
    <row r="1431" spans="1:10" ht="14.25" customHeight="1">
      <c r="A1431" s="520" t="s">
        <v>2249</v>
      </c>
      <c r="B1431" s="521" t="s">
        <v>2250</v>
      </c>
      <c r="C1431" s="520" t="s">
        <v>213</v>
      </c>
      <c r="D1431" s="472">
        <v>5.399</v>
      </c>
      <c r="E1431" s="522">
        <v>5.0339999999999998</v>
      </c>
      <c r="F1431" s="523">
        <v>12.8</v>
      </c>
      <c r="G1431" s="524" t="s">
        <v>3663</v>
      </c>
      <c r="H1431" s="525" t="s">
        <v>3666</v>
      </c>
      <c r="I1431" s="474"/>
      <c r="J1431" s="475" t="s">
        <v>5612</v>
      </c>
    </row>
    <row r="1432" spans="1:10" ht="14.25" customHeight="1">
      <c r="A1432" s="520" t="s">
        <v>2251</v>
      </c>
      <c r="B1432" s="521" t="s">
        <v>2252</v>
      </c>
      <c r="C1432" s="520" t="s">
        <v>213</v>
      </c>
      <c r="D1432" s="472">
        <v>1.3220000000000001</v>
      </c>
      <c r="E1432" s="522">
        <v>1.224</v>
      </c>
      <c r="F1432" s="523" t="s">
        <v>4166</v>
      </c>
      <c r="G1432" s="524" t="s">
        <v>3663</v>
      </c>
      <c r="H1432" s="525" t="s">
        <v>3666</v>
      </c>
      <c r="I1432" s="474"/>
      <c r="J1432" s="475" t="s">
        <v>5613</v>
      </c>
    </row>
    <row r="1433" spans="1:10" ht="14.25" customHeight="1">
      <c r="A1433" s="520" t="s">
        <v>2253</v>
      </c>
      <c r="B1433" s="521" t="s">
        <v>2254</v>
      </c>
      <c r="C1433" s="520" t="s">
        <v>213</v>
      </c>
      <c r="D1433" s="472">
        <v>1.4890000000000001</v>
      </c>
      <c r="E1433" s="522">
        <v>1.389</v>
      </c>
      <c r="F1433" s="523" t="s">
        <v>4166</v>
      </c>
      <c r="G1433" s="524" t="s">
        <v>3663</v>
      </c>
      <c r="H1433" s="525" t="s">
        <v>3666</v>
      </c>
      <c r="I1433" s="474"/>
      <c r="J1433" s="475" t="s">
        <v>5614</v>
      </c>
    </row>
    <row r="1434" spans="1:10" ht="14.25" customHeight="1">
      <c r="A1434" s="520" t="s">
        <v>2255</v>
      </c>
      <c r="B1434" s="521" t="s">
        <v>2256</v>
      </c>
      <c r="C1434" s="520" t="s">
        <v>213</v>
      </c>
      <c r="D1434" s="472">
        <v>1.4890000000000001</v>
      </c>
      <c r="E1434" s="522">
        <v>1.389</v>
      </c>
      <c r="F1434" s="523" t="s">
        <v>4166</v>
      </c>
      <c r="G1434" s="524" t="s">
        <v>3663</v>
      </c>
      <c r="H1434" s="525" t="s">
        <v>3666</v>
      </c>
      <c r="I1434" s="474"/>
      <c r="J1434" s="475" t="s">
        <v>5615</v>
      </c>
    </row>
    <row r="1435" spans="1:10" ht="14.25" customHeight="1">
      <c r="A1435" s="520" t="s">
        <v>2257</v>
      </c>
      <c r="B1435" s="521" t="s">
        <v>2258</v>
      </c>
      <c r="C1435" s="520" t="s">
        <v>213</v>
      </c>
      <c r="D1435" s="472">
        <v>1.4890000000000001</v>
      </c>
      <c r="E1435" s="522">
        <v>1.389</v>
      </c>
      <c r="F1435" s="523" t="s">
        <v>4166</v>
      </c>
      <c r="G1435" s="524" t="s">
        <v>3663</v>
      </c>
      <c r="H1435" s="525" t="s">
        <v>3666</v>
      </c>
      <c r="I1435" s="474"/>
      <c r="J1435" s="475" t="s">
        <v>5616</v>
      </c>
    </row>
    <row r="1436" spans="1:10" ht="14.25" customHeight="1">
      <c r="A1436" s="520" t="s">
        <v>2259</v>
      </c>
      <c r="B1436" s="521" t="s">
        <v>2260</v>
      </c>
      <c r="C1436" s="520" t="s">
        <v>213</v>
      </c>
      <c r="D1436" s="472">
        <v>2.8119999999999998</v>
      </c>
      <c r="E1436" s="522">
        <v>2.6120000000000001</v>
      </c>
      <c r="F1436" s="523">
        <v>17</v>
      </c>
      <c r="G1436" s="524" t="s">
        <v>3663</v>
      </c>
      <c r="H1436" s="525" t="s">
        <v>3666</v>
      </c>
      <c r="I1436" s="474"/>
      <c r="J1436" s="475" t="s">
        <v>5617</v>
      </c>
    </row>
    <row r="1437" spans="1:10" ht="14.25" customHeight="1">
      <c r="A1437" s="528" t="s">
        <v>2261</v>
      </c>
      <c r="B1437" s="529" t="s">
        <v>2262</v>
      </c>
      <c r="C1437" s="528" t="s">
        <v>213</v>
      </c>
      <c r="D1437" s="472">
        <v>5.399</v>
      </c>
      <c r="E1437" s="522">
        <v>5.0339999999999998</v>
      </c>
      <c r="F1437" s="523">
        <v>17</v>
      </c>
      <c r="G1437" s="524" t="s">
        <v>3663</v>
      </c>
      <c r="H1437" s="525" t="s">
        <v>3666</v>
      </c>
      <c r="I1437" s="474"/>
      <c r="J1437" s="475" t="s">
        <v>5618</v>
      </c>
    </row>
    <row r="1438" spans="1:10" ht="14.25" customHeight="1">
      <c r="A1438" s="528" t="s">
        <v>2263</v>
      </c>
      <c r="B1438" s="529" t="s">
        <v>2264</v>
      </c>
      <c r="C1438" s="528" t="s">
        <v>213</v>
      </c>
      <c r="D1438" s="472">
        <v>5.399</v>
      </c>
      <c r="E1438" s="522">
        <v>5.0339999999999998</v>
      </c>
      <c r="F1438" s="523">
        <v>17</v>
      </c>
      <c r="G1438" s="524" t="s">
        <v>3663</v>
      </c>
      <c r="H1438" s="525" t="s">
        <v>3666</v>
      </c>
      <c r="I1438" s="474"/>
      <c r="J1438" s="475" t="s">
        <v>5619</v>
      </c>
    </row>
    <row r="1439" spans="1:10" ht="14.25" customHeight="1">
      <c r="A1439" s="520" t="s">
        <v>2265</v>
      </c>
      <c r="B1439" s="521" t="s">
        <v>2266</v>
      </c>
      <c r="C1439" s="520" t="s">
        <v>213</v>
      </c>
      <c r="D1439" s="472">
        <v>1.4890000000000001</v>
      </c>
      <c r="E1439" s="522">
        <v>1.389</v>
      </c>
      <c r="F1439" s="523" t="s">
        <v>4166</v>
      </c>
      <c r="G1439" s="524" t="s">
        <v>3663</v>
      </c>
      <c r="H1439" s="525" t="s">
        <v>3666</v>
      </c>
      <c r="I1439" s="474"/>
      <c r="J1439" s="475" t="s">
        <v>5620</v>
      </c>
    </row>
    <row r="1440" spans="1:10" ht="14.25" customHeight="1">
      <c r="A1440" s="520" t="s">
        <v>2267</v>
      </c>
      <c r="B1440" s="521" t="s">
        <v>2268</v>
      </c>
      <c r="C1440" s="520" t="s">
        <v>213</v>
      </c>
      <c r="D1440" s="472">
        <v>13.484</v>
      </c>
      <c r="E1440" s="522">
        <v>12.574</v>
      </c>
      <c r="F1440" s="523" t="s">
        <v>4166</v>
      </c>
      <c r="G1440" s="524" t="s">
        <v>3663</v>
      </c>
      <c r="H1440" s="525" t="s">
        <v>3666</v>
      </c>
      <c r="I1440" s="474"/>
      <c r="J1440" s="475" t="s">
        <v>5621</v>
      </c>
    </row>
    <row r="1441" spans="1:10" ht="14.25" customHeight="1">
      <c r="A1441" s="520" t="s">
        <v>2269</v>
      </c>
      <c r="B1441" s="521" t="s">
        <v>2270</v>
      </c>
      <c r="C1441" s="520" t="s">
        <v>213</v>
      </c>
      <c r="D1441" s="472">
        <v>12.521000000000001</v>
      </c>
      <c r="E1441" s="522">
        <v>11.678000000000001</v>
      </c>
      <c r="F1441" s="523">
        <v>41.6</v>
      </c>
      <c r="G1441" s="524" t="s">
        <v>3663</v>
      </c>
      <c r="H1441" s="525" t="s">
        <v>3666</v>
      </c>
      <c r="I1441" s="474"/>
      <c r="J1441" s="475" t="s">
        <v>5622</v>
      </c>
    </row>
    <row r="1442" spans="1:10" ht="14.25" customHeight="1">
      <c r="A1442" s="520" t="s">
        <v>4071</v>
      </c>
      <c r="B1442" s="521" t="s">
        <v>4072</v>
      </c>
      <c r="C1442" s="520" t="s">
        <v>213</v>
      </c>
      <c r="D1442" s="472">
        <v>12.521000000000001</v>
      </c>
      <c r="E1442" s="522">
        <v>11.678000000000001</v>
      </c>
      <c r="F1442" s="523">
        <v>41.6</v>
      </c>
      <c r="G1442" s="524" t="s">
        <v>3663</v>
      </c>
      <c r="H1442" s="525" t="s">
        <v>3666</v>
      </c>
      <c r="I1442" s="474"/>
      <c r="J1442" s="475" t="s">
        <v>5623</v>
      </c>
    </row>
    <row r="1443" spans="1:10" ht="14.25" customHeight="1">
      <c r="A1443" s="528" t="s">
        <v>2271</v>
      </c>
      <c r="B1443" s="529" t="s">
        <v>2272</v>
      </c>
      <c r="C1443" s="528" t="s">
        <v>213</v>
      </c>
      <c r="D1443" s="472">
        <v>16.344000000000001</v>
      </c>
      <c r="E1443" s="522">
        <v>12.836</v>
      </c>
      <c r="F1443" s="523">
        <v>41.6</v>
      </c>
      <c r="G1443" s="524" t="s">
        <v>3663</v>
      </c>
      <c r="H1443" s="525" t="s">
        <v>3666</v>
      </c>
      <c r="I1443" s="474"/>
      <c r="J1443" s="475" t="s">
        <v>5624</v>
      </c>
    </row>
    <row r="1444" spans="1:10" ht="14.25" customHeight="1">
      <c r="A1444" s="528" t="s">
        <v>2273</v>
      </c>
      <c r="B1444" s="529" t="s">
        <v>2274</v>
      </c>
      <c r="C1444" s="528" t="s">
        <v>213</v>
      </c>
      <c r="D1444" s="472">
        <v>56.253</v>
      </c>
      <c r="E1444" s="522">
        <v>52.432000000000002</v>
      </c>
      <c r="F1444" s="523">
        <v>41.6</v>
      </c>
      <c r="G1444" s="524" t="s">
        <v>3663</v>
      </c>
      <c r="H1444" s="525" t="s">
        <v>3666</v>
      </c>
      <c r="I1444" s="474"/>
      <c r="J1444" s="475" t="s">
        <v>5625</v>
      </c>
    </row>
    <row r="1445" spans="1:10" ht="14.25" customHeight="1">
      <c r="A1445" s="528" t="s">
        <v>2275</v>
      </c>
      <c r="B1445" s="529" t="s">
        <v>2276</v>
      </c>
      <c r="C1445" s="528" t="s">
        <v>213</v>
      </c>
      <c r="D1445" s="472">
        <v>69.736999999999995</v>
      </c>
      <c r="E1445" s="522">
        <v>65.004999999999995</v>
      </c>
      <c r="F1445" s="523">
        <v>41.6</v>
      </c>
      <c r="G1445" s="524" t="s">
        <v>3663</v>
      </c>
      <c r="H1445" s="525" t="s">
        <v>3666</v>
      </c>
      <c r="I1445" s="474"/>
      <c r="J1445" s="475" t="s">
        <v>5626</v>
      </c>
    </row>
    <row r="1446" spans="1:10" ht="14.25" customHeight="1">
      <c r="A1446" s="559" t="s">
        <v>3412</v>
      </c>
      <c r="B1446" s="560" t="s">
        <v>3413</v>
      </c>
      <c r="C1446" s="559" t="s">
        <v>213</v>
      </c>
      <c r="D1446" s="472">
        <v>0.76500000000000001</v>
      </c>
      <c r="E1446" s="522">
        <v>0.71199999999999997</v>
      </c>
      <c r="F1446" s="523" t="s">
        <v>4166</v>
      </c>
      <c r="G1446" s="524" t="s">
        <v>3663</v>
      </c>
      <c r="H1446" s="525" t="s">
        <v>3666</v>
      </c>
      <c r="I1446" s="474"/>
      <c r="J1446" s="475" t="s">
        <v>5627</v>
      </c>
    </row>
    <row r="1447" spans="1:10" ht="14.25" customHeight="1">
      <c r="A1447" s="559" t="s">
        <v>3414</v>
      </c>
      <c r="B1447" s="560" t="s">
        <v>3415</v>
      </c>
      <c r="C1447" s="559" t="s">
        <v>213</v>
      </c>
      <c r="D1447" s="472">
        <v>0.156</v>
      </c>
      <c r="E1447" s="522">
        <v>0.14499999999999999</v>
      </c>
      <c r="F1447" s="523" t="s">
        <v>4166</v>
      </c>
      <c r="G1447" s="524"/>
      <c r="H1447" s="525" t="s">
        <v>3841</v>
      </c>
      <c r="I1447" s="474"/>
      <c r="J1447" s="475" t="s">
        <v>5628</v>
      </c>
    </row>
    <row r="1448" spans="1:10" ht="14.25" customHeight="1">
      <c r="A1448" s="559" t="s">
        <v>3416</v>
      </c>
      <c r="B1448" s="560" t="s">
        <v>3417</v>
      </c>
      <c r="C1448" s="559" t="s">
        <v>213</v>
      </c>
      <c r="D1448" s="472">
        <v>2.3380000000000001</v>
      </c>
      <c r="E1448" s="522">
        <v>2.1779999999999999</v>
      </c>
      <c r="F1448" s="523" t="s">
        <v>4166</v>
      </c>
      <c r="G1448" s="524" t="s">
        <v>3663</v>
      </c>
      <c r="H1448" s="525" t="s">
        <v>3666</v>
      </c>
      <c r="I1448" s="474"/>
      <c r="J1448" s="475" t="s">
        <v>5629</v>
      </c>
    </row>
    <row r="1449" spans="1:10" ht="14.25" customHeight="1">
      <c r="A1449" s="559" t="s">
        <v>3418</v>
      </c>
      <c r="B1449" s="560" t="s">
        <v>4073</v>
      </c>
      <c r="C1449" s="559" t="s">
        <v>213</v>
      </c>
      <c r="D1449" s="472">
        <v>0.20799999999999999</v>
      </c>
      <c r="E1449" s="522">
        <v>0.19400000000000001</v>
      </c>
      <c r="F1449" s="523" t="s">
        <v>4166</v>
      </c>
      <c r="G1449" s="526" t="s">
        <v>3668</v>
      </c>
      <c r="H1449" s="525" t="s">
        <v>3678</v>
      </c>
      <c r="I1449" s="474"/>
      <c r="J1449" s="475" t="s">
        <v>5630</v>
      </c>
    </row>
    <row r="1450" spans="1:10" ht="14.25" customHeight="1">
      <c r="A1450" s="559" t="s">
        <v>3419</v>
      </c>
      <c r="B1450" s="560" t="s">
        <v>3420</v>
      </c>
      <c r="C1450" s="559" t="s">
        <v>213</v>
      </c>
      <c r="D1450" s="472">
        <v>0.73899999999999999</v>
      </c>
      <c r="E1450" s="522">
        <v>0.70199999999999996</v>
      </c>
      <c r="F1450" s="523" t="s">
        <v>4166</v>
      </c>
      <c r="G1450" s="524"/>
      <c r="H1450" s="525" t="s">
        <v>3666</v>
      </c>
      <c r="I1450" s="474"/>
      <c r="J1450" s="475" t="s">
        <v>5631</v>
      </c>
    </row>
    <row r="1451" spans="1:10" ht="14.25" customHeight="1">
      <c r="A1451" s="559" t="s">
        <v>3421</v>
      </c>
      <c r="B1451" s="560" t="s">
        <v>4074</v>
      </c>
      <c r="C1451" s="559" t="s">
        <v>213</v>
      </c>
      <c r="D1451" s="472">
        <v>0.307</v>
      </c>
      <c r="E1451" s="522">
        <v>0.29199999999999998</v>
      </c>
      <c r="F1451" s="523" t="s">
        <v>4166</v>
      </c>
      <c r="G1451" s="526" t="s">
        <v>3668</v>
      </c>
      <c r="H1451" s="525" t="s">
        <v>3678</v>
      </c>
      <c r="I1451" s="474"/>
      <c r="J1451" s="475" t="s">
        <v>5632</v>
      </c>
    </row>
    <row r="1452" spans="1:10" ht="14.25" customHeight="1">
      <c r="A1452" s="520" t="s">
        <v>2277</v>
      </c>
      <c r="B1452" s="521" t="s">
        <v>2278</v>
      </c>
      <c r="C1452" s="520" t="s">
        <v>213</v>
      </c>
      <c r="D1452" s="472">
        <v>17.161000000000001</v>
      </c>
      <c r="E1452" s="522">
        <v>16.370999999999999</v>
      </c>
      <c r="F1452" s="523" t="s">
        <v>4166</v>
      </c>
      <c r="G1452" s="524" t="s">
        <v>3663</v>
      </c>
      <c r="H1452" s="525" t="s">
        <v>3666</v>
      </c>
      <c r="I1452" s="474"/>
      <c r="J1452" s="475" t="s">
        <v>5633</v>
      </c>
    </row>
    <row r="1453" spans="1:10" ht="14.25" customHeight="1">
      <c r="A1453" s="520" t="s">
        <v>2279</v>
      </c>
      <c r="B1453" s="521" t="s">
        <v>2280</v>
      </c>
      <c r="C1453" s="520" t="s">
        <v>213</v>
      </c>
      <c r="D1453" s="472">
        <v>14.315</v>
      </c>
      <c r="E1453" s="522">
        <v>13.156000000000001</v>
      </c>
      <c r="F1453" s="523" t="s">
        <v>4166</v>
      </c>
      <c r="G1453" s="524" t="s">
        <v>3663</v>
      </c>
      <c r="H1453" s="525" t="s">
        <v>3666</v>
      </c>
      <c r="I1453" s="474"/>
      <c r="J1453" s="475" t="s">
        <v>5634</v>
      </c>
    </row>
    <row r="1454" spans="1:10" ht="14.25" customHeight="1">
      <c r="A1454" s="520" t="s">
        <v>2281</v>
      </c>
      <c r="B1454" s="521" t="s">
        <v>2282</v>
      </c>
      <c r="C1454" s="520" t="s">
        <v>213</v>
      </c>
      <c r="D1454" s="472">
        <v>2.7149999999999999</v>
      </c>
      <c r="E1454" s="522">
        <v>2.4700000000000002</v>
      </c>
      <c r="F1454" s="523" t="s">
        <v>4166</v>
      </c>
      <c r="G1454" s="524" t="s">
        <v>3663</v>
      </c>
      <c r="H1454" s="525" t="s">
        <v>3666</v>
      </c>
      <c r="I1454" s="474"/>
      <c r="J1454" s="475" t="s">
        <v>5635</v>
      </c>
    </row>
    <row r="1455" spans="1:10" ht="14.25" customHeight="1">
      <c r="A1455" s="520" t="s">
        <v>2283</v>
      </c>
      <c r="B1455" s="521" t="s">
        <v>2284</v>
      </c>
      <c r="C1455" s="520" t="s">
        <v>213</v>
      </c>
      <c r="D1455" s="472">
        <v>2.5030000000000001</v>
      </c>
      <c r="E1455" s="522">
        <v>2.274</v>
      </c>
      <c r="F1455" s="523" t="s">
        <v>4166</v>
      </c>
      <c r="G1455" s="524" t="s">
        <v>3663</v>
      </c>
      <c r="H1455" s="525" t="s">
        <v>3666</v>
      </c>
      <c r="I1455" s="474"/>
      <c r="J1455" s="475" t="s">
        <v>5636</v>
      </c>
    </row>
    <row r="1456" spans="1:10" ht="14.25" customHeight="1">
      <c r="A1456" s="520" t="s">
        <v>2285</v>
      </c>
      <c r="B1456" s="521" t="s">
        <v>4075</v>
      </c>
      <c r="C1456" s="520" t="s">
        <v>213</v>
      </c>
      <c r="D1456" s="472">
        <v>0.19900000000000001</v>
      </c>
      <c r="E1456" s="522">
        <v>0.183</v>
      </c>
      <c r="F1456" s="523" t="s">
        <v>4166</v>
      </c>
      <c r="G1456" s="526" t="s">
        <v>3668</v>
      </c>
      <c r="H1456" s="525" t="s">
        <v>3669</v>
      </c>
      <c r="I1456" s="474">
        <v>4016.93</v>
      </c>
      <c r="J1456" s="475" t="s">
        <v>5637</v>
      </c>
    </row>
    <row r="1457" spans="1:10" ht="14.25" customHeight="1">
      <c r="A1457" s="520" t="s">
        <v>2286</v>
      </c>
      <c r="B1457" s="521" t="s">
        <v>2287</v>
      </c>
      <c r="C1457" s="520" t="s">
        <v>213</v>
      </c>
      <c r="D1457" s="472">
        <v>2.746</v>
      </c>
      <c r="E1457" s="522">
        <v>2.3879999999999999</v>
      </c>
      <c r="F1457" s="523" t="s">
        <v>4166</v>
      </c>
      <c r="G1457" s="526" t="s">
        <v>3668</v>
      </c>
      <c r="H1457" s="525" t="s">
        <v>3669</v>
      </c>
      <c r="I1457" s="474">
        <v>4016.93</v>
      </c>
      <c r="J1457" s="475" t="s">
        <v>5638</v>
      </c>
    </row>
    <row r="1458" spans="1:10" ht="14.25" customHeight="1">
      <c r="A1458" s="520" t="s">
        <v>2288</v>
      </c>
      <c r="B1458" s="521" t="s">
        <v>2289</v>
      </c>
      <c r="C1458" s="520" t="s">
        <v>213</v>
      </c>
      <c r="D1458" s="472">
        <v>16.196999999999999</v>
      </c>
      <c r="E1458" s="522">
        <v>15.452</v>
      </c>
      <c r="F1458" s="523" t="s">
        <v>4166</v>
      </c>
      <c r="G1458" s="524" t="s">
        <v>3663</v>
      </c>
      <c r="H1458" s="525" t="s">
        <v>3666</v>
      </c>
      <c r="I1458" s="474"/>
      <c r="J1458" s="475" t="s">
        <v>5639</v>
      </c>
    </row>
    <row r="1459" spans="1:10" ht="14.25" customHeight="1">
      <c r="A1459" s="528" t="s">
        <v>2290</v>
      </c>
      <c r="B1459" s="529" t="s">
        <v>2291</v>
      </c>
      <c r="C1459" s="528" t="s">
        <v>213</v>
      </c>
      <c r="D1459" s="472">
        <v>16.344000000000001</v>
      </c>
      <c r="E1459" s="522">
        <v>12.836</v>
      </c>
      <c r="F1459" s="523" t="s">
        <v>4166</v>
      </c>
      <c r="G1459" s="524" t="s">
        <v>3663</v>
      </c>
      <c r="H1459" s="525" t="s">
        <v>3666</v>
      </c>
      <c r="I1459" s="474"/>
      <c r="J1459" s="475" t="s">
        <v>5640</v>
      </c>
    </row>
    <row r="1460" spans="1:10" ht="14.25" customHeight="1">
      <c r="A1460" s="520" t="s">
        <v>2292</v>
      </c>
      <c r="B1460" s="521" t="s">
        <v>2293</v>
      </c>
      <c r="C1460" s="520" t="s">
        <v>213</v>
      </c>
      <c r="D1460" s="472">
        <v>24.039000000000001</v>
      </c>
      <c r="E1460" s="522">
        <v>22.407</v>
      </c>
      <c r="F1460" s="523">
        <v>86</v>
      </c>
      <c r="G1460" s="524" t="s">
        <v>3663</v>
      </c>
      <c r="H1460" s="525" t="s">
        <v>3666</v>
      </c>
      <c r="I1460" s="474"/>
      <c r="J1460" s="475" t="s">
        <v>5641</v>
      </c>
    </row>
    <row r="1461" spans="1:10" ht="14.25" customHeight="1">
      <c r="A1461" s="520" t="s">
        <v>2294</v>
      </c>
      <c r="B1461" s="521" t="s">
        <v>2295</v>
      </c>
      <c r="C1461" s="520" t="s">
        <v>213</v>
      </c>
      <c r="D1461" s="472">
        <v>14.933</v>
      </c>
      <c r="E1461" s="522">
        <v>13.923</v>
      </c>
      <c r="F1461" s="523" t="s">
        <v>4166</v>
      </c>
      <c r="G1461" s="524" t="s">
        <v>3663</v>
      </c>
      <c r="H1461" s="525" t="s">
        <v>3666</v>
      </c>
      <c r="I1461" s="474"/>
      <c r="J1461" s="475" t="s">
        <v>5642</v>
      </c>
    </row>
    <row r="1462" spans="1:10" ht="14.25" customHeight="1">
      <c r="A1462" s="520" t="s">
        <v>2296</v>
      </c>
      <c r="B1462" s="521" t="s">
        <v>2297</v>
      </c>
      <c r="C1462" s="520" t="s">
        <v>213</v>
      </c>
      <c r="D1462" s="472">
        <v>2.4620000000000002</v>
      </c>
      <c r="E1462" s="522">
        <v>2.2949999999999999</v>
      </c>
      <c r="F1462" s="523" t="s">
        <v>4166</v>
      </c>
      <c r="G1462" s="524" t="s">
        <v>3663</v>
      </c>
      <c r="H1462" s="525" t="s">
        <v>3666</v>
      </c>
      <c r="I1462" s="474"/>
      <c r="J1462" s="475" t="s">
        <v>5643</v>
      </c>
    </row>
    <row r="1463" spans="1:10" ht="14.25" customHeight="1">
      <c r="A1463" s="520" t="s">
        <v>2298</v>
      </c>
      <c r="B1463" s="521" t="s">
        <v>2299</v>
      </c>
      <c r="C1463" s="520" t="s">
        <v>213</v>
      </c>
      <c r="D1463" s="472">
        <v>2.6720000000000002</v>
      </c>
      <c r="E1463" s="522">
        <v>2.4900000000000002</v>
      </c>
      <c r="F1463" s="523" t="s">
        <v>4166</v>
      </c>
      <c r="G1463" s="524" t="s">
        <v>3663</v>
      </c>
      <c r="H1463" s="525" t="s">
        <v>3666</v>
      </c>
      <c r="I1463" s="474"/>
      <c r="J1463" s="475" t="s">
        <v>5644</v>
      </c>
    </row>
    <row r="1464" spans="1:10" ht="14.25" customHeight="1">
      <c r="A1464" s="520" t="s">
        <v>2300</v>
      </c>
      <c r="B1464" s="521" t="s">
        <v>2301</v>
      </c>
      <c r="C1464" s="520" t="s">
        <v>213</v>
      </c>
      <c r="D1464" s="472">
        <v>2.004</v>
      </c>
      <c r="E1464" s="522">
        <v>1.8680000000000001</v>
      </c>
      <c r="F1464" s="523" t="s">
        <v>4166</v>
      </c>
      <c r="G1464" s="524" t="s">
        <v>3663</v>
      </c>
      <c r="H1464" s="525" t="s">
        <v>3666</v>
      </c>
      <c r="I1464" s="474"/>
      <c r="J1464" s="475" t="s">
        <v>5645</v>
      </c>
    </row>
    <row r="1465" spans="1:10" ht="14.25" customHeight="1">
      <c r="A1465" s="520" t="s">
        <v>2302</v>
      </c>
      <c r="B1465" s="521" t="s">
        <v>2303</v>
      </c>
      <c r="C1465" s="520" t="s">
        <v>213</v>
      </c>
      <c r="D1465" s="472">
        <v>1.9339999999999999</v>
      </c>
      <c r="E1465" s="522">
        <v>1.802</v>
      </c>
      <c r="F1465" s="523" t="s">
        <v>4166</v>
      </c>
      <c r="G1465" s="524" t="s">
        <v>3663</v>
      </c>
      <c r="H1465" s="525" t="s">
        <v>3666</v>
      </c>
      <c r="I1465" s="474"/>
      <c r="J1465" s="475" t="s">
        <v>5646</v>
      </c>
    </row>
    <row r="1466" spans="1:10" ht="14.25" customHeight="1">
      <c r="A1466" s="520" t="s">
        <v>2304</v>
      </c>
      <c r="B1466" s="521" t="s">
        <v>2305</v>
      </c>
      <c r="C1466" s="520" t="s">
        <v>213</v>
      </c>
      <c r="D1466" s="472">
        <v>2.3650000000000002</v>
      </c>
      <c r="E1466" s="522">
        <v>2.2040000000000002</v>
      </c>
      <c r="F1466" s="523" t="s">
        <v>4166</v>
      </c>
      <c r="G1466" s="524" t="s">
        <v>3663</v>
      </c>
      <c r="H1466" s="525" t="s">
        <v>3666</v>
      </c>
      <c r="I1466" s="474"/>
      <c r="J1466" s="475" t="s">
        <v>5647</v>
      </c>
    </row>
    <row r="1467" spans="1:10" ht="14.25" customHeight="1">
      <c r="A1467" s="520" t="s">
        <v>2306</v>
      </c>
      <c r="B1467" s="521" t="s">
        <v>2307</v>
      </c>
      <c r="C1467" s="520" t="s">
        <v>213</v>
      </c>
      <c r="D1467" s="472">
        <v>22.497</v>
      </c>
      <c r="E1467" s="522">
        <v>20.981000000000002</v>
      </c>
      <c r="F1467" s="523">
        <v>75.2</v>
      </c>
      <c r="G1467" s="524" t="s">
        <v>3663</v>
      </c>
      <c r="H1467" s="525" t="s">
        <v>3666</v>
      </c>
      <c r="I1467" s="474"/>
      <c r="J1467" s="475" t="s">
        <v>5648</v>
      </c>
    </row>
    <row r="1468" spans="1:10" ht="14.25" customHeight="1">
      <c r="A1468" s="520" t="s">
        <v>2308</v>
      </c>
      <c r="B1468" s="521" t="s">
        <v>2309</v>
      </c>
      <c r="C1468" s="520" t="s">
        <v>213</v>
      </c>
      <c r="D1468" s="472">
        <v>7.9459999999999997</v>
      </c>
      <c r="E1468" s="522">
        <v>7.3209999999999997</v>
      </c>
      <c r="F1468" s="523" t="s">
        <v>4166</v>
      </c>
      <c r="G1468" s="524" t="s">
        <v>3663</v>
      </c>
      <c r="H1468" s="525" t="s">
        <v>3666</v>
      </c>
      <c r="I1468" s="474"/>
      <c r="J1468" s="475" t="s">
        <v>5649</v>
      </c>
    </row>
    <row r="1469" spans="1:10" ht="14.25" customHeight="1">
      <c r="A1469" s="520" t="s">
        <v>2310</v>
      </c>
      <c r="B1469" s="521" t="s">
        <v>2311</v>
      </c>
      <c r="C1469" s="520" t="s">
        <v>213</v>
      </c>
      <c r="D1469" s="472">
        <v>1.9359999999999999</v>
      </c>
      <c r="E1469" s="522">
        <v>1.7110000000000001</v>
      </c>
      <c r="F1469" s="523" t="s">
        <v>4166</v>
      </c>
      <c r="G1469" s="524" t="s">
        <v>3663</v>
      </c>
      <c r="H1469" s="525" t="s">
        <v>3666</v>
      </c>
      <c r="I1469" s="474"/>
      <c r="J1469" s="475" t="s">
        <v>5650</v>
      </c>
    </row>
    <row r="1470" spans="1:10" ht="14.25" customHeight="1">
      <c r="A1470" s="520" t="s">
        <v>2312</v>
      </c>
      <c r="B1470" s="521" t="s">
        <v>2313</v>
      </c>
      <c r="C1470" s="520" t="s">
        <v>213</v>
      </c>
      <c r="D1470" s="472">
        <v>3.99</v>
      </c>
      <c r="E1470" s="522">
        <v>3.7069999999999999</v>
      </c>
      <c r="F1470" s="523" t="s">
        <v>4166</v>
      </c>
      <c r="G1470" s="524" t="s">
        <v>3663</v>
      </c>
      <c r="H1470" s="525" t="s">
        <v>3666</v>
      </c>
      <c r="I1470" s="474"/>
      <c r="J1470" s="475" t="s">
        <v>5651</v>
      </c>
    </row>
    <row r="1471" spans="1:10" ht="14.25" customHeight="1">
      <c r="A1471" s="520" t="s">
        <v>2314</v>
      </c>
      <c r="B1471" s="521" t="s">
        <v>2315</v>
      </c>
      <c r="C1471" s="520" t="s">
        <v>213</v>
      </c>
      <c r="D1471" s="472">
        <v>5.3440000000000003</v>
      </c>
      <c r="E1471" s="522">
        <v>4.9829999999999997</v>
      </c>
      <c r="F1471" s="523" t="s">
        <v>4166</v>
      </c>
      <c r="G1471" s="524" t="s">
        <v>3663</v>
      </c>
      <c r="H1471" s="525" t="s">
        <v>3666</v>
      </c>
      <c r="I1471" s="474"/>
      <c r="J1471" s="475" t="s">
        <v>5652</v>
      </c>
    </row>
    <row r="1472" spans="1:10" ht="14.25" customHeight="1">
      <c r="A1472" s="520" t="s">
        <v>2316</v>
      </c>
      <c r="B1472" s="521" t="s">
        <v>2313</v>
      </c>
      <c r="C1472" s="520" t="s">
        <v>213</v>
      </c>
      <c r="D1472" s="472">
        <v>3.99</v>
      </c>
      <c r="E1472" s="522">
        <v>3.7069999999999999</v>
      </c>
      <c r="F1472" s="523">
        <v>23</v>
      </c>
      <c r="G1472" s="524" t="s">
        <v>3663</v>
      </c>
      <c r="H1472" s="525" t="s">
        <v>3666</v>
      </c>
      <c r="I1472" s="474"/>
      <c r="J1472" s="475" t="s">
        <v>5653</v>
      </c>
    </row>
    <row r="1473" spans="1:10" ht="14.25" customHeight="1">
      <c r="A1473" s="528" t="s">
        <v>2317</v>
      </c>
      <c r="B1473" s="529" t="s">
        <v>2318</v>
      </c>
      <c r="C1473" s="528" t="s">
        <v>213</v>
      </c>
      <c r="D1473" s="472">
        <v>10.592000000000001</v>
      </c>
      <c r="E1473" s="522">
        <v>7.484</v>
      </c>
      <c r="F1473" s="523" t="s">
        <v>4166</v>
      </c>
      <c r="G1473" s="524" t="s">
        <v>3663</v>
      </c>
      <c r="H1473" s="525" t="s">
        <v>3666</v>
      </c>
      <c r="I1473" s="474"/>
      <c r="J1473" s="475" t="s">
        <v>5654</v>
      </c>
    </row>
    <row r="1474" spans="1:10" ht="14.25" customHeight="1">
      <c r="A1474" s="520" t="s">
        <v>2319</v>
      </c>
      <c r="B1474" s="521" t="s">
        <v>2320</v>
      </c>
      <c r="C1474" s="520" t="s">
        <v>213</v>
      </c>
      <c r="D1474" s="472">
        <v>3.488</v>
      </c>
      <c r="E1474" s="522">
        <v>3.2240000000000002</v>
      </c>
      <c r="F1474" s="523" t="s">
        <v>4166</v>
      </c>
      <c r="G1474" s="524" t="s">
        <v>3663</v>
      </c>
      <c r="H1474" s="525" t="s">
        <v>3666</v>
      </c>
      <c r="I1474" s="474"/>
      <c r="J1474" s="475" t="s">
        <v>5655</v>
      </c>
    </row>
    <row r="1475" spans="1:10" ht="14.25" customHeight="1">
      <c r="A1475" s="520" t="s">
        <v>2321</v>
      </c>
      <c r="B1475" s="521" t="s">
        <v>2322</v>
      </c>
      <c r="C1475" s="520" t="s">
        <v>213</v>
      </c>
      <c r="D1475" s="472">
        <v>3.488</v>
      </c>
      <c r="E1475" s="522">
        <v>3.2240000000000002</v>
      </c>
      <c r="F1475" s="523" t="s">
        <v>4166</v>
      </c>
      <c r="G1475" s="524" t="s">
        <v>3663</v>
      </c>
      <c r="H1475" s="525" t="s">
        <v>3666</v>
      </c>
      <c r="I1475" s="474"/>
      <c r="J1475" s="475" t="s">
        <v>5656</v>
      </c>
    </row>
    <row r="1476" spans="1:10" ht="14.25" customHeight="1">
      <c r="A1476" s="520" t="s">
        <v>2323</v>
      </c>
      <c r="B1476" s="521" t="s">
        <v>2324</v>
      </c>
      <c r="C1476" s="520" t="s">
        <v>213</v>
      </c>
      <c r="D1476" s="472">
        <v>3.488</v>
      </c>
      <c r="E1476" s="522">
        <v>3.2240000000000002</v>
      </c>
      <c r="F1476" s="523" t="s">
        <v>4166</v>
      </c>
      <c r="G1476" s="524" t="s">
        <v>3663</v>
      </c>
      <c r="H1476" s="525" t="s">
        <v>3666</v>
      </c>
      <c r="I1476" s="474"/>
      <c r="J1476" s="475" t="s">
        <v>5657</v>
      </c>
    </row>
    <row r="1477" spans="1:10" ht="14.25" customHeight="1">
      <c r="A1477" s="520" t="s">
        <v>2325</v>
      </c>
      <c r="B1477" s="521" t="s">
        <v>2326</v>
      </c>
      <c r="C1477" s="520" t="s">
        <v>213</v>
      </c>
      <c r="D1477" s="472">
        <v>8.141</v>
      </c>
      <c r="E1477" s="522">
        <v>7.585</v>
      </c>
      <c r="F1477" s="523" t="s">
        <v>4166</v>
      </c>
      <c r="G1477" s="524" t="s">
        <v>3663</v>
      </c>
      <c r="H1477" s="525" t="s">
        <v>3666</v>
      </c>
      <c r="I1477" s="474"/>
      <c r="J1477" s="475" t="s">
        <v>5658</v>
      </c>
    </row>
    <row r="1478" spans="1:10" ht="14.25" customHeight="1">
      <c r="A1478" s="520" t="s">
        <v>2327</v>
      </c>
      <c r="B1478" s="521" t="s">
        <v>2328</v>
      </c>
      <c r="C1478" s="520" t="s">
        <v>213</v>
      </c>
      <c r="D1478" s="472">
        <v>2.4489999999999998</v>
      </c>
      <c r="E1478" s="522">
        <v>2.2839999999999998</v>
      </c>
      <c r="F1478" s="523" t="s">
        <v>4166</v>
      </c>
      <c r="G1478" s="524" t="s">
        <v>3663</v>
      </c>
      <c r="H1478" s="525" t="s">
        <v>3666</v>
      </c>
      <c r="I1478" s="474"/>
      <c r="J1478" s="475" t="s">
        <v>5659</v>
      </c>
    </row>
    <row r="1479" spans="1:10" ht="14.25" customHeight="1">
      <c r="A1479" s="520" t="s">
        <v>2329</v>
      </c>
      <c r="B1479" s="521" t="s">
        <v>2330</v>
      </c>
      <c r="C1479" s="520" t="s">
        <v>213</v>
      </c>
      <c r="D1479" s="472">
        <v>2.1150000000000002</v>
      </c>
      <c r="E1479" s="522">
        <v>1.9710000000000001</v>
      </c>
      <c r="F1479" s="523" t="s">
        <v>4166</v>
      </c>
      <c r="G1479" s="524" t="s">
        <v>3663</v>
      </c>
      <c r="H1479" s="525" t="s">
        <v>3666</v>
      </c>
      <c r="I1479" s="474"/>
      <c r="J1479" s="475" t="s">
        <v>5660</v>
      </c>
    </row>
    <row r="1480" spans="1:10" ht="14.25" customHeight="1">
      <c r="A1480" s="520" t="s">
        <v>2331</v>
      </c>
      <c r="B1480" s="521" t="s">
        <v>2332</v>
      </c>
      <c r="C1480" s="520" t="s">
        <v>213</v>
      </c>
      <c r="D1480" s="472">
        <v>0.36</v>
      </c>
      <c r="E1480" s="522">
        <v>0.33300000000000002</v>
      </c>
      <c r="F1480" s="523" t="s">
        <v>4166</v>
      </c>
      <c r="G1480" s="524"/>
      <c r="H1480" s="525" t="s">
        <v>4076</v>
      </c>
      <c r="I1480" s="474"/>
      <c r="J1480" s="475" t="s">
        <v>5661</v>
      </c>
    </row>
    <row r="1481" spans="1:10" ht="14.25" customHeight="1">
      <c r="A1481" s="520" t="s">
        <v>2333</v>
      </c>
      <c r="B1481" s="521" t="s">
        <v>2334</v>
      </c>
      <c r="C1481" s="520" t="s">
        <v>213</v>
      </c>
      <c r="D1481" s="472">
        <v>0.156</v>
      </c>
      <c r="E1481" s="522">
        <v>0.14499999999999999</v>
      </c>
      <c r="F1481" s="523" t="s">
        <v>4166</v>
      </c>
      <c r="G1481" s="524"/>
      <c r="H1481" s="525" t="s">
        <v>3841</v>
      </c>
      <c r="I1481" s="474"/>
      <c r="J1481" s="475" t="s">
        <v>5662</v>
      </c>
    </row>
    <row r="1482" spans="1:10" ht="14.25" customHeight="1">
      <c r="A1482" s="520" t="s">
        <v>2335</v>
      </c>
      <c r="B1482" s="521" t="s">
        <v>2336</v>
      </c>
      <c r="C1482" s="520" t="s">
        <v>213</v>
      </c>
      <c r="D1482" s="472">
        <v>8.141</v>
      </c>
      <c r="E1482" s="522">
        <v>7.585</v>
      </c>
      <c r="F1482" s="523" t="s">
        <v>4166</v>
      </c>
      <c r="G1482" s="524" t="s">
        <v>3663</v>
      </c>
      <c r="H1482" s="525" t="s">
        <v>3666</v>
      </c>
      <c r="I1482" s="474"/>
      <c r="J1482" s="475" t="s">
        <v>5663</v>
      </c>
    </row>
    <row r="1483" spans="1:10" ht="14.25" customHeight="1">
      <c r="A1483" s="520" t="s">
        <v>2337</v>
      </c>
      <c r="B1483" s="521" t="s">
        <v>2338</v>
      </c>
      <c r="C1483" s="520" t="s">
        <v>213</v>
      </c>
      <c r="D1483" s="472">
        <v>2.4489999999999998</v>
      </c>
      <c r="E1483" s="522">
        <v>2.2799999999999998</v>
      </c>
      <c r="F1483" s="523" t="s">
        <v>4166</v>
      </c>
      <c r="G1483" s="524" t="s">
        <v>3663</v>
      </c>
      <c r="H1483" s="525" t="s">
        <v>3666</v>
      </c>
      <c r="I1483" s="474"/>
      <c r="J1483" s="475" t="s">
        <v>5664</v>
      </c>
    </row>
    <row r="1484" spans="1:10" ht="14.25" customHeight="1">
      <c r="A1484" s="520" t="s">
        <v>2339</v>
      </c>
      <c r="B1484" s="521" t="s">
        <v>2340</v>
      </c>
      <c r="C1484" s="520" t="s">
        <v>213</v>
      </c>
      <c r="D1484" s="472">
        <v>8.141</v>
      </c>
      <c r="E1484" s="522">
        <v>7.585</v>
      </c>
      <c r="F1484" s="523" t="s">
        <v>4166</v>
      </c>
      <c r="G1484" s="524" t="s">
        <v>3663</v>
      </c>
      <c r="H1484" s="525" t="s">
        <v>3666</v>
      </c>
      <c r="I1484" s="474"/>
      <c r="J1484" s="475" t="s">
        <v>5665</v>
      </c>
    </row>
    <row r="1485" spans="1:10" ht="14.25" customHeight="1">
      <c r="A1485" s="520" t="s">
        <v>2341</v>
      </c>
      <c r="B1485" s="521" t="s">
        <v>2342</v>
      </c>
      <c r="C1485" s="520" t="s">
        <v>213</v>
      </c>
      <c r="D1485" s="472">
        <v>2.1150000000000002</v>
      </c>
      <c r="E1485" s="522">
        <v>1.9710000000000001</v>
      </c>
      <c r="F1485" s="523" t="s">
        <v>4166</v>
      </c>
      <c r="G1485" s="524" t="s">
        <v>3663</v>
      </c>
      <c r="H1485" s="525" t="s">
        <v>3666</v>
      </c>
      <c r="I1485" s="474"/>
      <c r="J1485" s="475" t="s">
        <v>5666</v>
      </c>
    </row>
    <row r="1486" spans="1:10" ht="14.25" customHeight="1">
      <c r="A1486" s="520" t="s">
        <v>4077</v>
      </c>
      <c r="B1486" s="539" t="s">
        <v>4078</v>
      </c>
      <c r="C1486" s="520" t="s">
        <v>213</v>
      </c>
      <c r="D1486" s="472">
        <v>2.1150000000000002</v>
      </c>
      <c r="E1486" s="522">
        <v>1.9710000000000001</v>
      </c>
      <c r="F1486" s="523" t="s">
        <v>4166</v>
      </c>
      <c r="G1486" s="524" t="s">
        <v>3663</v>
      </c>
      <c r="H1486" s="525" t="s">
        <v>3666</v>
      </c>
      <c r="I1486" s="474"/>
      <c r="J1486" s="475" t="s">
        <v>5667</v>
      </c>
    </row>
    <row r="1487" spans="1:10" ht="14.25" customHeight="1">
      <c r="A1487" s="520" t="s">
        <v>2343</v>
      </c>
      <c r="B1487" s="521" t="s">
        <v>2344</v>
      </c>
      <c r="C1487" s="520" t="s">
        <v>213</v>
      </c>
      <c r="D1487" s="472">
        <v>8.141</v>
      </c>
      <c r="E1487" s="522">
        <v>7.585</v>
      </c>
      <c r="F1487" s="523" t="s">
        <v>4166</v>
      </c>
      <c r="G1487" s="524" t="s">
        <v>3663</v>
      </c>
      <c r="H1487" s="525" t="s">
        <v>3666</v>
      </c>
      <c r="I1487" s="474"/>
      <c r="J1487" s="475" t="s">
        <v>5668</v>
      </c>
    </row>
    <row r="1488" spans="1:10" ht="14.25" customHeight="1">
      <c r="A1488" s="520" t="s">
        <v>2345</v>
      </c>
      <c r="B1488" s="521" t="s">
        <v>2346</v>
      </c>
      <c r="C1488" s="520" t="s">
        <v>213</v>
      </c>
      <c r="D1488" s="472">
        <v>2.4489999999999998</v>
      </c>
      <c r="E1488" s="522">
        <v>2.2839999999999998</v>
      </c>
      <c r="F1488" s="523" t="s">
        <v>4166</v>
      </c>
      <c r="G1488" s="524" t="s">
        <v>3663</v>
      </c>
      <c r="H1488" s="525" t="s">
        <v>3666</v>
      </c>
      <c r="I1488" s="474"/>
      <c r="J1488" s="475" t="s">
        <v>5669</v>
      </c>
    </row>
    <row r="1489" spans="1:10" ht="14.25" customHeight="1">
      <c r="A1489" s="520" t="s">
        <v>2347</v>
      </c>
      <c r="B1489" s="521" t="s">
        <v>2348</v>
      </c>
      <c r="C1489" s="520" t="s">
        <v>213</v>
      </c>
      <c r="D1489" s="472">
        <v>2.1150000000000002</v>
      </c>
      <c r="E1489" s="522">
        <v>1.9710000000000001</v>
      </c>
      <c r="F1489" s="523" t="s">
        <v>4166</v>
      </c>
      <c r="G1489" s="524" t="s">
        <v>3663</v>
      </c>
      <c r="H1489" s="525" t="s">
        <v>3666</v>
      </c>
      <c r="I1489" s="474"/>
      <c r="J1489" s="475" t="s">
        <v>5670</v>
      </c>
    </row>
    <row r="1490" spans="1:10" ht="14.25" customHeight="1">
      <c r="A1490" s="520" t="s">
        <v>2349</v>
      </c>
      <c r="B1490" s="521" t="s">
        <v>2350</v>
      </c>
      <c r="C1490" s="520" t="s">
        <v>213</v>
      </c>
      <c r="D1490" s="472">
        <v>8.141</v>
      </c>
      <c r="E1490" s="522">
        <v>7.585</v>
      </c>
      <c r="F1490" s="523" t="s">
        <v>4166</v>
      </c>
      <c r="G1490" s="524" t="s">
        <v>3663</v>
      </c>
      <c r="H1490" s="525" t="s">
        <v>3666</v>
      </c>
      <c r="I1490" s="474"/>
      <c r="J1490" s="475" t="s">
        <v>5671</v>
      </c>
    </row>
    <row r="1491" spans="1:10" ht="14.25" customHeight="1">
      <c r="A1491" s="520" t="s">
        <v>2351</v>
      </c>
      <c r="B1491" s="521" t="s">
        <v>2352</v>
      </c>
      <c r="C1491" s="520" t="s">
        <v>213</v>
      </c>
      <c r="D1491" s="472">
        <v>9.4629999999999992</v>
      </c>
      <c r="E1491" s="522">
        <v>8.827</v>
      </c>
      <c r="F1491" s="523" t="s">
        <v>4166</v>
      </c>
      <c r="G1491" s="524" t="s">
        <v>3663</v>
      </c>
      <c r="H1491" s="525" t="s">
        <v>3666</v>
      </c>
      <c r="I1491" s="474"/>
      <c r="J1491" s="475" t="s">
        <v>5672</v>
      </c>
    </row>
    <row r="1492" spans="1:10" ht="14.25" customHeight="1">
      <c r="A1492" s="520" t="s">
        <v>2353</v>
      </c>
      <c r="B1492" s="521" t="s">
        <v>2354</v>
      </c>
      <c r="C1492" s="520" t="s">
        <v>213</v>
      </c>
      <c r="D1492" s="472">
        <v>2.9359999999999999</v>
      </c>
      <c r="E1492" s="522">
        <v>2.7370000000000001</v>
      </c>
      <c r="F1492" s="523" t="s">
        <v>4166</v>
      </c>
      <c r="G1492" s="524" t="s">
        <v>3663</v>
      </c>
      <c r="H1492" s="525" t="s">
        <v>3666</v>
      </c>
      <c r="I1492" s="474"/>
      <c r="J1492" s="475" t="s">
        <v>5673</v>
      </c>
    </row>
    <row r="1493" spans="1:10" ht="14.25" customHeight="1">
      <c r="A1493" s="520" t="s">
        <v>2355</v>
      </c>
      <c r="B1493" s="521" t="s">
        <v>2356</v>
      </c>
      <c r="C1493" s="520" t="s">
        <v>213</v>
      </c>
      <c r="D1493" s="472">
        <v>2.8119999999999998</v>
      </c>
      <c r="E1493" s="522">
        <v>2.621</v>
      </c>
      <c r="F1493" s="523" t="s">
        <v>4166</v>
      </c>
      <c r="G1493" s="524" t="s">
        <v>3663</v>
      </c>
      <c r="H1493" s="525" t="s">
        <v>3666</v>
      </c>
      <c r="I1493" s="474"/>
      <c r="J1493" s="475" t="s">
        <v>5674</v>
      </c>
    </row>
    <row r="1494" spans="1:10" ht="14.25" customHeight="1">
      <c r="A1494" s="520" t="s">
        <v>2357</v>
      </c>
      <c r="B1494" s="521" t="s">
        <v>2358</v>
      </c>
      <c r="C1494" s="520" t="s">
        <v>213</v>
      </c>
      <c r="D1494" s="472">
        <v>0.36</v>
      </c>
      <c r="E1494" s="522">
        <v>0.33300000000000002</v>
      </c>
      <c r="F1494" s="523" t="s">
        <v>4166</v>
      </c>
      <c r="G1494" s="524"/>
      <c r="H1494" s="525" t="s">
        <v>4076</v>
      </c>
      <c r="I1494" s="474"/>
      <c r="J1494" s="475" t="s">
        <v>5675</v>
      </c>
    </row>
    <row r="1495" spans="1:10" ht="14.25" customHeight="1">
      <c r="A1495" s="520" t="s">
        <v>3422</v>
      </c>
      <c r="B1495" s="521" t="s">
        <v>3423</v>
      </c>
      <c r="C1495" s="520" t="s">
        <v>213</v>
      </c>
      <c r="D1495" s="472">
        <v>12.068</v>
      </c>
      <c r="E1495" s="522">
        <v>11.247999999999999</v>
      </c>
      <c r="F1495" s="523" t="s">
        <v>4166</v>
      </c>
      <c r="G1495" s="524" t="s">
        <v>3663</v>
      </c>
      <c r="H1495" s="525" t="s">
        <v>3666</v>
      </c>
      <c r="I1495" s="474"/>
      <c r="J1495" s="475" t="s">
        <v>5676</v>
      </c>
    </row>
    <row r="1496" spans="1:10" ht="14.25" customHeight="1">
      <c r="A1496" s="520" t="s">
        <v>2359</v>
      </c>
      <c r="B1496" s="521" t="s">
        <v>4079</v>
      </c>
      <c r="C1496" s="520" t="s">
        <v>213</v>
      </c>
      <c r="D1496" s="472">
        <v>0.80600000000000005</v>
      </c>
      <c r="E1496" s="522">
        <v>0.753</v>
      </c>
      <c r="F1496" s="523" t="s">
        <v>4166</v>
      </c>
      <c r="G1496" s="526" t="s">
        <v>3668</v>
      </c>
      <c r="H1496" s="525" t="s">
        <v>3669</v>
      </c>
      <c r="I1496" s="474">
        <v>4016.93</v>
      </c>
      <c r="J1496" s="475" t="s">
        <v>5677</v>
      </c>
    </row>
    <row r="1497" spans="1:10" ht="14.25" customHeight="1">
      <c r="A1497" s="520" t="s">
        <v>2360</v>
      </c>
      <c r="B1497" s="521" t="s">
        <v>2361</v>
      </c>
      <c r="C1497" s="520" t="s">
        <v>213</v>
      </c>
      <c r="D1497" s="472">
        <v>2.597</v>
      </c>
      <c r="E1497" s="522">
        <v>2.93</v>
      </c>
      <c r="F1497" s="523" t="s">
        <v>4166</v>
      </c>
      <c r="G1497" s="526" t="s">
        <v>3668</v>
      </c>
      <c r="H1497" s="525" t="s">
        <v>3669</v>
      </c>
      <c r="I1497" s="474">
        <v>4016.93</v>
      </c>
      <c r="J1497" s="475" t="s">
        <v>5678</v>
      </c>
    </row>
    <row r="1498" spans="1:10" ht="14.25" customHeight="1">
      <c r="A1498" s="520" t="s">
        <v>2362</v>
      </c>
      <c r="B1498" s="521" t="s">
        <v>2363</v>
      </c>
      <c r="C1498" s="520" t="s">
        <v>213</v>
      </c>
      <c r="D1498" s="472">
        <v>8.0259999999999998</v>
      </c>
      <c r="E1498" s="522">
        <v>7.4930000000000003</v>
      </c>
      <c r="F1498" s="523" t="s">
        <v>4166</v>
      </c>
      <c r="G1498" s="524" t="s">
        <v>3663</v>
      </c>
      <c r="H1498" s="525" t="s">
        <v>3666</v>
      </c>
      <c r="I1498" s="474"/>
      <c r="J1498" s="475" t="s">
        <v>5679</v>
      </c>
    </row>
    <row r="1499" spans="1:10" ht="14.25" customHeight="1">
      <c r="A1499" s="520" t="s">
        <v>2364</v>
      </c>
      <c r="B1499" s="521" t="s">
        <v>2365</v>
      </c>
      <c r="C1499" s="520" t="s">
        <v>213</v>
      </c>
      <c r="D1499" s="472">
        <v>2.157</v>
      </c>
      <c r="E1499" s="522">
        <v>2.0099999999999998</v>
      </c>
      <c r="F1499" s="523" t="s">
        <v>4166</v>
      </c>
      <c r="G1499" s="524" t="s">
        <v>3663</v>
      </c>
      <c r="H1499" s="525" t="s">
        <v>3666</v>
      </c>
      <c r="I1499" s="474"/>
      <c r="J1499" s="475" t="s">
        <v>5680</v>
      </c>
    </row>
    <row r="1500" spans="1:10" ht="14.25" customHeight="1">
      <c r="A1500" s="520" t="s">
        <v>2366</v>
      </c>
      <c r="B1500" s="521" t="s">
        <v>2367</v>
      </c>
      <c r="C1500" s="520" t="s">
        <v>213</v>
      </c>
      <c r="D1500" s="472">
        <v>5.569</v>
      </c>
      <c r="E1500" s="522">
        <v>5.19</v>
      </c>
      <c r="F1500" s="523" t="s">
        <v>4166</v>
      </c>
      <c r="G1500" s="524" t="s">
        <v>3663</v>
      </c>
      <c r="H1500" s="525" t="s">
        <v>3666</v>
      </c>
      <c r="I1500" s="474"/>
      <c r="J1500" s="475" t="s">
        <v>5681</v>
      </c>
    </row>
    <row r="1501" spans="1:10" ht="14.25" customHeight="1">
      <c r="A1501" s="520" t="s">
        <v>2368</v>
      </c>
      <c r="B1501" s="521" t="s">
        <v>2369</v>
      </c>
      <c r="C1501" s="520" t="s">
        <v>213</v>
      </c>
      <c r="D1501" s="472">
        <v>2.8380000000000001</v>
      </c>
      <c r="E1501" s="522">
        <v>2.6469999999999998</v>
      </c>
      <c r="F1501" s="523" t="s">
        <v>4166</v>
      </c>
      <c r="G1501" s="524" t="s">
        <v>3663</v>
      </c>
      <c r="H1501" s="525" t="s">
        <v>3666</v>
      </c>
      <c r="I1501" s="474"/>
      <c r="J1501" s="475" t="s">
        <v>5682</v>
      </c>
    </row>
    <row r="1502" spans="1:10" ht="14.25" customHeight="1">
      <c r="A1502" s="520" t="s">
        <v>2370</v>
      </c>
      <c r="B1502" s="521" t="s">
        <v>2371</v>
      </c>
      <c r="C1502" s="520" t="s">
        <v>213</v>
      </c>
      <c r="D1502" s="472">
        <v>3.1989999999999998</v>
      </c>
      <c r="E1502" s="522">
        <v>2.9780000000000002</v>
      </c>
      <c r="F1502" s="523">
        <v>11.2</v>
      </c>
      <c r="G1502" s="524" t="s">
        <v>3663</v>
      </c>
      <c r="H1502" s="525" t="s">
        <v>3666</v>
      </c>
      <c r="I1502" s="474"/>
      <c r="J1502" s="475" t="s">
        <v>5683</v>
      </c>
    </row>
    <row r="1503" spans="1:10" ht="14.25" customHeight="1">
      <c r="A1503" s="520" t="s">
        <v>2372</v>
      </c>
      <c r="B1503" s="521" t="s">
        <v>2373</v>
      </c>
      <c r="C1503" s="520" t="s">
        <v>213</v>
      </c>
      <c r="D1503" s="472">
        <v>1.948</v>
      </c>
      <c r="E1503" s="522">
        <v>1.8160000000000001</v>
      </c>
      <c r="F1503" s="523" t="s">
        <v>4166</v>
      </c>
      <c r="G1503" s="524" t="s">
        <v>3663</v>
      </c>
      <c r="H1503" s="525" t="s">
        <v>3666</v>
      </c>
      <c r="I1503" s="474"/>
      <c r="J1503" s="475" t="s">
        <v>5684</v>
      </c>
    </row>
    <row r="1504" spans="1:10" ht="14.25" customHeight="1">
      <c r="A1504" s="520" t="s">
        <v>2374</v>
      </c>
      <c r="B1504" s="521" t="s">
        <v>2375</v>
      </c>
      <c r="C1504" s="520" t="s">
        <v>213</v>
      </c>
      <c r="D1504" s="472">
        <v>3.1989999999999998</v>
      </c>
      <c r="E1504" s="522">
        <v>2.9780000000000002</v>
      </c>
      <c r="F1504" s="523" t="s">
        <v>4166</v>
      </c>
      <c r="G1504" s="524" t="s">
        <v>3663</v>
      </c>
      <c r="H1504" s="525" t="s">
        <v>3666</v>
      </c>
      <c r="I1504" s="474"/>
      <c r="J1504" s="475" t="s">
        <v>5685</v>
      </c>
    </row>
    <row r="1505" spans="1:10" ht="14.25" customHeight="1">
      <c r="A1505" s="520" t="s">
        <v>2376</v>
      </c>
      <c r="B1505" s="521" t="s">
        <v>2377</v>
      </c>
      <c r="C1505" s="520" t="s">
        <v>213</v>
      </c>
      <c r="D1505" s="472">
        <v>1.9890000000000001</v>
      </c>
      <c r="E1505" s="522">
        <v>1.8560000000000001</v>
      </c>
      <c r="F1505" s="523" t="s">
        <v>4166</v>
      </c>
      <c r="G1505" s="524" t="s">
        <v>3663</v>
      </c>
      <c r="H1505" s="525" t="s">
        <v>3666</v>
      </c>
      <c r="I1505" s="474"/>
      <c r="J1505" s="475" t="s">
        <v>5686</v>
      </c>
    </row>
    <row r="1506" spans="1:10" ht="14.25" customHeight="1">
      <c r="A1506" s="520" t="s">
        <v>2378</v>
      </c>
      <c r="B1506" s="521" t="s">
        <v>2379</v>
      </c>
      <c r="C1506" s="520" t="s">
        <v>213</v>
      </c>
      <c r="D1506" s="472">
        <v>4.6689999999999996</v>
      </c>
      <c r="E1506" s="522">
        <v>4.3499999999999996</v>
      </c>
      <c r="F1506" s="523" t="s">
        <v>4166</v>
      </c>
      <c r="G1506" s="524" t="s">
        <v>3663</v>
      </c>
      <c r="H1506" s="525" t="s">
        <v>3666</v>
      </c>
      <c r="I1506" s="474"/>
      <c r="J1506" s="475" t="s">
        <v>5687</v>
      </c>
    </row>
    <row r="1507" spans="1:10" ht="14.25" customHeight="1">
      <c r="A1507" s="520" t="s">
        <v>2380</v>
      </c>
      <c r="B1507" s="521" t="s">
        <v>2381</v>
      </c>
      <c r="C1507" s="520" t="s">
        <v>213</v>
      </c>
      <c r="D1507" s="472">
        <v>2.129</v>
      </c>
      <c r="E1507" s="522">
        <v>1.9850000000000001</v>
      </c>
      <c r="F1507" s="523" t="s">
        <v>4166</v>
      </c>
      <c r="G1507" s="524" t="s">
        <v>3663</v>
      </c>
      <c r="H1507" s="525" t="s">
        <v>3666</v>
      </c>
      <c r="I1507" s="474"/>
      <c r="J1507" s="475" t="s">
        <v>5688</v>
      </c>
    </row>
    <row r="1508" spans="1:10" ht="14.25" customHeight="1">
      <c r="A1508" s="520" t="s">
        <v>2382</v>
      </c>
      <c r="B1508" s="521" t="s">
        <v>2383</v>
      </c>
      <c r="C1508" s="520" t="s">
        <v>213</v>
      </c>
      <c r="D1508" s="472">
        <v>4.6689999999999996</v>
      </c>
      <c r="E1508" s="522">
        <v>4.3499999999999996</v>
      </c>
      <c r="F1508" s="523" t="s">
        <v>4166</v>
      </c>
      <c r="G1508" s="524" t="s">
        <v>3663</v>
      </c>
      <c r="H1508" s="525" t="s">
        <v>3666</v>
      </c>
      <c r="I1508" s="474"/>
      <c r="J1508" s="475" t="s">
        <v>5689</v>
      </c>
    </row>
    <row r="1509" spans="1:10" ht="14.25" customHeight="1">
      <c r="A1509" s="520" t="s">
        <v>2384</v>
      </c>
      <c r="B1509" s="521" t="s">
        <v>2385</v>
      </c>
      <c r="C1509" s="520" t="s">
        <v>213</v>
      </c>
      <c r="D1509" s="472">
        <v>2.1150000000000002</v>
      </c>
      <c r="E1509" s="522">
        <v>1.9710000000000001</v>
      </c>
      <c r="F1509" s="523" t="s">
        <v>4166</v>
      </c>
      <c r="G1509" s="524" t="s">
        <v>3663</v>
      </c>
      <c r="H1509" s="525" t="s">
        <v>3666</v>
      </c>
      <c r="I1509" s="474"/>
      <c r="J1509" s="475" t="s">
        <v>5690</v>
      </c>
    </row>
    <row r="1510" spans="1:10" ht="14.25" customHeight="1">
      <c r="A1510" s="520" t="s">
        <v>2386</v>
      </c>
      <c r="B1510" s="521" t="s">
        <v>2387</v>
      </c>
      <c r="C1510" s="520" t="s">
        <v>213</v>
      </c>
      <c r="D1510" s="472">
        <v>7.4480000000000004</v>
      </c>
      <c r="E1510" s="522">
        <v>5.74</v>
      </c>
      <c r="F1510" s="523" t="s">
        <v>4166</v>
      </c>
      <c r="G1510" s="527" t="s">
        <v>3662</v>
      </c>
      <c r="H1510" s="525" t="s">
        <v>3666</v>
      </c>
      <c r="I1510" s="474"/>
      <c r="J1510" s="475" t="s">
        <v>5691</v>
      </c>
    </row>
    <row r="1511" spans="1:10" ht="14.25" customHeight="1">
      <c r="A1511" s="520" t="s">
        <v>2388</v>
      </c>
      <c r="B1511" s="521" t="s">
        <v>2389</v>
      </c>
      <c r="C1511" s="520" t="s">
        <v>213</v>
      </c>
      <c r="D1511" s="472">
        <v>3.7240000000000002</v>
      </c>
      <c r="E1511" s="522">
        <v>2.87</v>
      </c>
      <c r="F1511" s="523" t="s">
        <v>4166</v>
      </c>
      <c r="G1511" s="527" t="s">
        <v>3662</v>
      </c>
      <c r="H1511" s="525" t="s">
        <v>3666</v>
      </c>
      <c r="I1511" s="474"/>
      <c r="J1511" s="475" t="s">
        <v>5692</v>
      </c>
    </row>
    <row r="1512" spans="1:10" ht="14.25" customHeight="1">
      <c r="A1512" s="520" t="s">
        <v>2390</v>
      </c>
      <c r="B1512" s="521" t="s">
        <v>2391</v>
      </c>
      <c r="C1512" s="520" t="s">
        <v>213</v>
      </c>
      <c r="D1512" s="472">
        <v>14.391</v>
      </c>
      <c r="E1512" s="522">
        <v>11.09</v>
      </c>
      <c r="F1512" s="523" t="s">
        <v>4166</v>
      </c>
      <c r="G1512" s="527" t="s">
        <v>3662</v>
      </c>
      <c r="H1512" s="525" t="s">
        <v>3666</v>
      </c>
      <c r="I1512" s="474"/>
      <c r="J1512" s="475" t="s">
        <v>5693</v>
      </c>
    </row>
    <row r="1513" spans="1:10" ht="14.25" customHeight="1">
      <c r="A1513" s="520" t="s">
        <v>2392</v>
      </c>
      <c r="B1513" s="521" t="s">
        <v>1746</v>
      </c>
      <c r="C1513" s="520" t="s">
        <v>213</v>
      </c>
      <c r="D1513" s="472">
        <v>2.9780000000000002</v>
      </c>
      <c r="E1513" s="522">
        <v>2.2949999999999999</v>
      </c>
      <c r="F1513" s="523" t="s">
        <v>4166</v>
      </c>
      <c r="G1513" s="527" t="s">
        <v>3662</v>
      </c>
      <c r="H1513" s="525" t="s">
        <v>3666</v>
      </c>
      <c r="I1513" s="474"/>
      <c r="J1513" s="475" t="s">
        <v>5694</v>
      </c>
    </row>
    <row r="1514" spans="1:10" ht="14.25" customHeight="1">
      <c r="A1514" s="520" t="s">
        <v>2393</v>
      </c>
      <c r="B1514" s="521" t="s">
        <v>2394</v>
      </c>
      <c r="C1514" s="520" t="s">
        <v>213</v>
      </c>
      <c r="D1514" s="472">
        <v>12.435</v>
      </c>
      <c r="E1514" s="522">
        <v>9.5839999999999996</v>
      </c>
      <c r="F1514" s="523" t="s">
        <v>4166</v>
      </c>
      <c r="G1514" s="527" t="s">
        <v>3662</v>
      </c>
      <c r="H1514" s="525" t="s">
        <v>3666</v>
      </c>
      <c r="I1514" s="474"/>
      <c r="J1514" s="475" t="s">
        <v>5695</v>
      </c>
    </row>
    <row r="1515" spans="1:10" ht="14.25" customHeight="1">
      <c r="A1515" s="520" t="s">
        <v>2395</v>
      </c>
      <c r="B1515" s="521" t="s">
        <v>2396</v>
      </c>
      <c r="C1515" s="520" t="s">
        <v>213</v>
      </c>
      <c r="D1515" s="472">
        <v>22.734999999999999</v>
      </c>
      <c r="E1515" s="522">
        <v>17.521000000000001</v>
      </c>
      <c r="F1515" s="523" t="s">
        <v>4166</v>
      </c>
      <c r="G1515" s="527" t="s">
        <v>3662</v>
      </c>
      <c r="H1515" s="525" t="s">
        <v>3666</v>
      </c>
      <c r="I1515" s="474"/>
      <c r="J1515" s="475" t="s">
        <v>5696</v>
      </c>
    </row>
    <row r="1516" spans="1:10" ht="14.25" customHeight="1">
      <c r="A1516" s="520" t="s">
        <v>2397</v>
      </c>
      <c r="B1516" s="521" t="s">
        <v>2398</v>
      </c>
      <c r="C1516" s="520" t="s">
        <v>213</v>
      </c>
      <c r="D1516" s="472">
        <v>7.4480000000000004</v>
      </c>
      <c r="E1516" s="522">
        <v>5.74</v>
      </c>
      <c r="F1516" s="523" t="s">
        <v>4166</v>
      </c>
      <c r="G1516" s="527" t="s">
        <v>3662</v>
      </c>
      <c r="H1516" s="525" t="s">
        <v>3666</v>
      </c>
      <c r="I1516" s="474"/>
      <c r="J1516" s="475" t="s">
        <v>5697</v>
      </c>
    </row>
    <row r="1517" spans="1:10" ht="14.25" customHeight="1">
      <c r="A1517" s="520" t="s">
        <v>2399</v>
      </c>
      <c r="B1517" s="521" t="s">
        <v>2400</v>
      </c>
      <c r="C1517" s="520" t="s">
        <v>213</v>
      </c>
      <c r="D1517" s="472">
        <v>3.7240000000000002</v>
      </c>
      <c r="E1517" s="522">
        <v>2.87</v>
      </c>
      <c r="F1517" s="523" t="s">
        <v>4166</v>
      </c>
      <c r="G1517" s="527" t="s">
        <v>3662</v>
      </c>
      <c r="H1517" s="525" t="s">
        <v>3666</v>
      </c>
      <c r="I1517" s="474"/>
      <c r="J1517" s="475" t="s">
        <v>5698</v>
      </c>
    </row>
    <row r="1518" spans="1:10" ht="14.25" customHeight="1">
      <c r="A1518" s="520" t="s">
        <v>2401</v>
      </c>
      <c r="B1518" s="521" t="s">
        <v>2402</v>
      </c>
      <c r="C1518" s="520" t="s">
        <v>213</v>
      </c>
      <c r="D1518" s="472">
        <v>14.391</v>
      </c>
      <c r="E1518" s="522">
        <v>11.09</v>
      </c>
      <c r="F1518" s="523" t="s">
        <v>4166</v>
      </c>
      <c r="G1518" s="527" t="s">
        <v>3662</v>
      </c>
      <c r="H1518" s="525" t="s">
        <v>3666</v>
      </c>
      <c r="I1518" s="474"/>
      <c r="J1518" s="475" t="s">
        <v>5699</v>
      </c>
    </row>
    <row r="1519" spans="1:10" ht="14.25" customHeight="1">
      <c r="A1519" s="520" t="s">
        <v>2403</v>
      </c>
      <c r="B1519" s="521" t="s">
        <v>1758</v>
      </c>
      <c r="C1519" s="520" t="s">
        <v>213</v>
      </c>
      <c r="D1519" s="472">
        <v>2.9780000000000002</v>
      </c>
      <c r="E1519" s="522">
        <v>2.2949999999999999</v>
      </c>
      <c r="F1519" s="523" t="s">
        <v>4166</v>
      </c>
      <c r="G1519" s="527" t="s">
        <v>3662</v>
      </c>
      <c r="H1519" s="525" t="s">
        <v>3666</v>
      </c>
      <c r="I1519" s="474"/>
      <c r="J1519" s="475" t="s">
        <v>5700</v>
      </c>
    </row>
    <row r="1520" spans="1:10" ht="14.25" customHeight="1">
      <c r="A1520" s="520" t="s">
        <v>2404</v>
      </c>
      <c r="B1520" s="521" t="s">
        <v>2405</v>
      </c>
      <c r="C1520" s="520" t="s">
        <v>213</v>
      </c>
      <c r="D1520" s="472">
        <v>12.435</v>
      </c>
      <c r="E1520" s="522">
        <v>9.5839999999999996</v>
      </c>
      <c r="F1520" s="523" t="s">
        <v>4166</v>
      </c>
      <c r="G1520" s="527" t="s">
        <v>3662</v>
      </c>
      <c r="H1520" s="525" t="s">
        <v>3666</v>
      </c>
      <c r="I1520" s="474"/>
      <c r="J1520" s="475" t="s">
        <v>5701</v>
      </c>
    </row>
    <row r="1521" spans="1:10" ht="14.25" customHeight="1">
      <c r="A1521" s="520" t="s">
        <v>2406</v>
      </c>
      <c r="B1521" s="521" t="s">
        <v>2407</v>
      </c>
      <c r="C1521" s="520" t="s">
        <v>213</v>
      </c>
      <c r="D1521" s="472">
        <v>22.734999999999999</v>
      </c>
      <c r="E1521" s="522">
        <v>17.521000000000001</v>
      </c>
      <c r="F1521" s="523" t="s">
        <v>4166</v>
      </c>
      <c r="G1521" s="527" t="s">
        <v>3662</v>
      </c>
      <c r="H1521" s="525" t="s">
        <v>3666</v>
      </c>
      <c r="I1521" s="474"/>
      <c r="J1521" s="475" t="s">
        <v>5702</v>
      </c>
    </row>
    <row r="1522" spans="1:10" ht="14.25" customHeight="1">
      <c r="A1522" s="520" t="s">
        <v>2408</v>
      </c>
      <c r="B1522" s="521" t="s">
        <v>2409</v>
      </c>
      <c r="C1522" s="520" t="s">
        <v>213</v>
      </c>
      <c r="D1522" s="472">
        <v>7.4480000000000004</v>
      </c>
      <c r="E1522" s="522">
        <v>5.74</v>
      </c>
      <c r="F1522" s="523" t="s">
        <v>4166</v>
      </c>
      <c r="G1522" s="527" t="s">
        <v>3662</v>
      </c>
      <c r="H1522" s="525" t="s">
        <v>3666</v>
      </c>
      <c r="I1522" s="474"/>
      <c r="J1522" s="475" t="s">
        <v>5703</v>
      </c>
    </row>
    <row r="1523" spans="1:10" ht="14.25" customHeight="1">
      <c r="A1523" s="520" t="s">
        <v>2410</v>
      </c>
      <c r="B1523" s="521" t="s">
        <v>2411</v>
      </c>
      <c r="C1523" s="520" t="s">
        <v>213</v>
      </c>
      <c r="D1523" s="472">
        <v>3.7240000000000002</v>
      </c>
      <c r="E1523" s="522">
        <v>2.87</v>
      </c>
      <c r="F1523" s="523" t="s">
        <v>4166</v>
      </c>
      <c r="G1523" s="527" t="s">
        <v>3662</v>
      </c>
      <c r="H1523" s="525" t="s">
        <v>3666</v>
      </c>
      <c r="I1523" s="474"/>
      <c r="J1523" s="475" t="s">
        <v>5704</v>
      </c>
    </row>
    <row r="1524" spans="1:10" ht="14.25" customHeight="1">
      <c r="A1524" s="520" t="s">
        <v>2412</v>
      </c>
      <c r="B1524" s="521" t="s">
        <v>2413</v>
      </c>
      <c r="C1524" s="520" t="s">
        <v>213</v>
      </c>
      <c r="D1524" s="472">
        <v>14.391</v>
      </c>
      <c r="E1524" s="522">
        <v>11.09</v>
      </c>
      <c r="F1524" s="523" t="s">
        <v>4166</v>
      </c>
      <c r="G1524" s="527" t="s">
        <v>3662</v>
      </c>
      <c r="H1524" s="525" t="s">
        <v>3666</v>
      </c>
      <c r="I1524" s="474"/>
      <c r="J1524" s="475" t="s">
        <v>5705</v>
      </c>
    </row>
    <row r="1525" spans="1:10" ht="14.25" customHeight="1">
      <c r="A1525" s="520" t="s">
        <v>2414</v>
      </c>
      <c r="B1525" s="521" t="s">
        <v>1770</v>
      </c>
      <c r="C1525" s="520" t="s">
        <v>213</v>
      </c>
      <c r="D1525" s="472">
        <v>2.9780000000000002</v>
      </c>
      <c r="E1525" s="522">
        <v>2.2949999999999999</v>
      </c>
      <c r="F1525" s="523" t="s">
        <v>4166</v>
      </c>
      <c r="G1525" s="527" t="s">
        <v>3662</v>
      </c>
      <c r="H1525" s="525" t="s">
        <v>3666</v>
      </c>
      <c r="I1525" s="474"/>
      <c r="J1525" s="475" t="s">
        <v>5706</v>
      </c>
    </row>
    <row r="1526" spans="1:10" ht="14.25" customHeight="1">
      <c r="A1526" s="520" t="s">
        <v>2415</v>
      </c>
      <c r="B1526" s="521" t="s">
        <v>2416</v>
      </c>
      <c r="C1526" s="520" t="s">
        <v>213</v>
      </c>
      <c r="D1526" s="472">
        <v>12.435</v>
      </c>
      <c r="E1526" s="522">
        <v>9.5839999999999996</v>
      </c>
      <c r="F1526" s="523" t="s">
        <v>4166</v>
      </c>
      <c r="G1526" s="527" t="s">
        <v>3662</v>
      </c>
      <c r="H1526" s="525" t="s">
        <v>3666</v>
      </c>
      <c r="I1526" s="474"/>
      <c r="J1526" s="475" t="s">
        <v>5707</v>
      </c>
    </row>
    <row r="1527" spans="1:10" ht="14.25" customHeight="1">
      <c r="A1527" s="520" t="s">
        <v>2417</v>
      </c>
      <c r="B1527" s="521" t="s">
        <v>2418</v>
      </c>
      <c r="C1527" s="520" t="s">
        <v>213</v>
      </c>
      <c r="D1527" s="472">
        <v>22.734999999999999</v>
      </c>
      <c r="E1527" s="522">
        <v>17.521000000000001</v>
      </c>
      <c r="F1527" s="523" t="s">
        <v>4166</v>
      </c>
      <c r="G1527" s="527" t="s">
        <v>3662</v>
      </c>
      <c r="H1527" s="525" t="s">
        <v>3666</v>
      </c>
      <c r="I1527" s="474"/>
      <c r="J1527" s="475" t="s">
        <v>5708</v>
      </c>
    </row>
    <row r="1528" spans="1:10" ht="14.25" customHeight="1">
      <c r="A1528" s="520" t="s">
        <v>2419</v>
      </c>
      <c r="B1528" s="521" t="s">
        <v>2420</v>
      </c>
      <c r="C1528" s="520" t="s">
        <v>213</v>
      </c>
      <c r="D1528" s="472">
        <v>7.4480000000000004</v>
      </c>
      <c r="E1528" s="522">
        <v>5.74</v>
      </c>
      <c r="F1528" s="523" t="s">
        <v>4166</v>
      </c>
      <c r="G1528" s="527" t="s">
        <v>3662</v>
      </c>
      <c r="H1528" s="525" t="s">
        <v>3666</v>
      </c>
      <c r="I1528" s="474"/>
      <c r="J1528" s="475" t="s">
        <v>5709</v>
      </c>
    </row>
    <row r="1529" spans="1:10" ht="14.25" customHeight="1">
      <c r="A1529" s="520" t="s">
        <v>2421</v>
      </c>
      <c r="B1529" s="521" t="s">
        <v>2422</v>
      </c>
      <c r="C1529" s="520" t="s">
        <v>213</v>
      </c>
      <c r="D1529" s="472">
        <v>3.7240000000000002</v>
      </c>
      <c r="E1529" s="522">
        <v>2.87</v>
      </c>
      <c r="F1529" s="523" t="s">
        <v>4166</v>
      </c>
      <c r="G1529" s="527" t="s">
        <v>3662</v>
      </c>
      <c r="H1529" s="525" t="s">
        <v>3666</v>
      </c>
      <c r="I1529" s="474"/>
      <c r="J1529" s="475" t="s">
        <v>5710</v>
      </c>
    </row>
    <row r="1530" spans="1:10" ht="14.25" customHeight="1">
      <c r="A1530" s="520" t="s">
        <v>2423</v>
      </c>
      <c r="B1530" s="521" t="s">
        <v>2424</v>
      </c>
      <c r="C1530" s="520" t="s">
        <v>213</v>
      </c>
      <c r="D1530" s="472">
        <v>14.391</v>
      </c>
      <c r="E1530" s="522">
        <v>11.09</v>
      </c>
      <c r="F1530" s="523" t="s">
        <v>4166</v>
      </c>
      <c r="G1530" s="527" t="s">
        <v>3662</v>
      </c>
      <c r="H1530" s="525" t="s">
        <v>3666</v>
      </c>
      <c r="I1530" s="474"/>
      <c r="J1530" s="475" t="s">
        <v>5711</v>
      </c>
    </row>
    <row r="1531" spans="1:10" ht="14.25" customHeight="1">
      <c r="A1531" s="520" t="s">
        <v>2425</v>
      </c>
      <c r="B1531" s="521" t="s">
        <v>1782</v>
      </c>
      <c r="C1531" s="520" t="s">
        <v>213</v>
      </c>
      <c r="D1531" s="472">
        <v>2.9780000000000002</v>
      </c>
      <c r="E1531" s="522">
        <v>2.2949999999999999</v>
      </c>
      <c r="F1531" s="523" t="s">
        <v>4166</v>
      </c>
      <c r="G1531" s="527" t="s">
        <v>3662</v>
      </c>
      <c r="H1531" s="525" t="s">
        <v>3666</v>
      </c>
      <c r="I1531" s="474"/>
      <c r="J1531" s="475" t="s">
        <v>5712</v>
      </c>
    </row>
    <row r="1532" spans="1:10" ht="14.25" customHeight="1">
      <c r="A1532" s="520" t="s">
        <v>2426</v>
      </c>
      <c r="B1532" s="521" t="s">
        <v>2427</v>
      </c>
      <c r="C1532" s="520" t="s">
        <v>213</v>
      </c>
      <c r="D1532" s="472">
        <v>12.435</v>
      </c>
      <c r="E1532" s="522">
        <v>9.5839999999999996</v>
      </c>
      <c r="F1532" s="523" t="s">
        <v>4166</v>
      </c>
      <c r="G1532" s="527" t="s">
        <v>3662</v>
      </c>
      <c r="H1532" s="525" t="s">
        <v>3666</v>
      </c>
      <c r="I1532" s="474"/>
      <c r="J1532" s="475" t="s">
        <v>5713</v>
      </c>
    </row>
    <row r="1533" spans="1:10" ht="14.25" customHeight="1">
      <c r="A1533" s="520" t="s">
        <v>2428</v>
      </c>
      <c r="B1533" s="521" t="s">
        <v>2429</v>
      </c>
      <c r="C1533" s="520" t="s">
        <v>213</v>
      </c>
      <c r="D1533" s="472">
        <v>22.734999999999999</v>
      </c>
      <c r="E1533" s="522">
        <v>17.521000000000001</v>
      </c>
      <c r="F1533" s="523" t="s">
        <v>4166</v>
      </c>
      <c r="G1533" s="527" t="s">
        <v>3662</v>
      </c>
      <c r="H1533" s="525" t="s">
        <v>3666</v>
      </c>
      <c r="I1533" s="474"/>
      <c r="J1533" s="475" t="s">
        <v>5714</v>
      </c>
    </row>
    <row r="1534" spans="1:10" ht="14.25" customHeight="1">
      <c r="A1534" s="520" t="s">
        <v>2430</v>
      </c>
      <c r="B1534" s="521" t="s">
        <v>2431</v>
      </c>
      <c r="C1534" s="520" t="s">
        <v>213</v>
      </c>
      <c r="D1534" s="472">
        <v>2.6739999999999999</v>
      </c>
      <c r="E1534" s="522">
        <v>2.4809999999999999</v>
      </c>
      <c r="F1534" s="523" t="s">
        <v>4166</v>
      </c>
      <c r="G1534" s="524" t="s">
        <v>3663</v>
      </c>
      <c r="H1534" s="525" t="s">
        <v>3666</v>
      </c>
      <c r="I1534" s="474"/>
      <c r="J1534" s="475" t="s">
        <v>5715</v>
      </c>
    </row>
    <row r="1535" spans="1:10" ht="14.25" customHeight="1">
      <c r="A1535" s="520" t="s">
        <v>2432</v>
      </c>
      <c r="B1535" s="521" t="s">
        <v>2433</v>
      </c>
      <c r="C1535" s="520" t="s">
        <v>213</v>
      </c>
      <c r="D1535" s="472">
        <v>2.6739999999999999</v>
      </c>
      <c r="E1535" s="522">
        <v>2.4809999999999999</v>
      </c>
      <c r="F1535" s="523" t="s">
        <v>4166</v>
      </c>
      <c r="G1535" s="524" t="s">
        <v>3663</v>
      </c>
      <c r="H1535" s="525" t="s">
        <v>3666</v>
      </c>
      <c r="I1535" s="474"/>
      <c r="J1535" s="475" t="s">
        <v>5716</v>
      </c>
    </row>
    <row r="1536" spans="1:10" ht="14.25" customHeight="1">
      <c r="A1536" s="520" t="s">
        <v>2434</v>
      </c>
      <c r="B1536" s="521" t="s">
        <v>2435</v>
      </c>
      <c r="C1536" s="520" t="s">
        <v>213</v>
      </c>
      <c r="D1536" s="472">
        <v>2.101</v>
      </c>
      <c r="E1536" s="522">
        <v>1.9590000000000001</v>
      </c>
      <c r="F1536" s="523">
        <v>4.4000000000000004</v>
      </c>
      <c r="G1536" s="524" t="s">
        <v>3663</v>
      </c>
      <c r="H1536" s="525" t="s">
        <v>3666</v>
      </c>
      <c r="I1536" s="474"/>
      <c r="J1536" s="475" t="s">
        <v>5717</v>
      </c>
    </row>
    <row r="1537" spans="1:10" ht="14.25" customHeight="1">
      <c r="A1537" s="520" t="s">
        <v>5718</v>
      </c>
      <c r="B1537" s="521" t="s">
        <v>5719</v>
      </c>
      <c r="C1537" s="520" t="s">
        <v>213</v>
      </c>
      <c r="D1537" s="472">
        <v>0</v>
      </c>
      <c r="E1537" s="522">
        <v>0</v>
      </c>
      <c r="F1537" s="523">
        <v>4.4000000000000004</v>
      </c>
      <c r="G1537" s="524" t="s">
        <v>3663</v>
      </c>
      <c r="H1537" s="525" t="s">
        <v>3666</v>
      </c>
      <c r="I1537" s="474"/>
      <c r="J1537" s="475" t="s">
        <v>5717</v>
      </c>
    </row>
    <row r="1538" spans="1:10" ht="14.25" customHeight="1">
      <c r="A1538" s="520" t="s">
        <v>5720</v>
      </c>
      <c r="B1538" s="521" t="s">
        <v>5721</v>
      </c>
      <c r="C1538" s="520" t="s">
        <v>213</v>
      </c>
      <c r="D1538" s="472">
        <v>0</v>
      </c>
      <c r="E1538" s="522">
        <v>0</v>
      </c>
      <c r="F1538" s="523">
        <v>4.4000000000000004</v>
      </c>
      <c r="G1538" s="524" t="s">
        <v>3663</v>
      </c>
      <c r="H1538" s="525" t="s">
        <v>3666</v>
      </c>
      <c r="I1538" s="474"/>
      <c r="J1538" s="475" t="s">
        <v>5717</v>
      </c>
    </row>
    <row r="1539" spans="1:10" ht="14.25" customHeight="1">
      <c r="A1539" s="559" t="s">
        <v>3424</v>
      </c>
      <c r="B1539" s="560" t="s">
        <v>3425</v>
      </c>
      <c r="C1539" s="559" t="s">
        <v>213</v>
      </c>
      <c r="D1539" s="472">
        <v>587.26900000000001</v>
      </c>
      <c r="E1539" s="522">
        <v>547.58500000000004</v>
      </c>
      <c r="F1539" s="523" t="s">
        <v>4166</v>
      </c>
      <c r="G1539" s="524" t="s">
        <v>3663</v>
      </c>
      <c r="H1539" s="525" t="s">
        <v>3666</v>
      </c>
      <c r="I1539" s="474"/>
      <c r="J1539" s="475" t="s">
        <v>5722</v>
      </c>
    </row>
    <row r="1540" spans="1:10" ht="14.25" customHeight="1">
      <c r="A1540" s="559" t="s">
        <v>3426</v>
      </c>
      <c r="B1540" s="560" t="s">
        <v>3427</v>
      </c>
      <c r="C1540" s="559" t="s">
        <v>213</v>
      </c>
      <c r="D1540" s="472">
        <v>171.31700000000001</v>
      </c>
      <c r="E1540" s="522">
        <v>159.73699999999999</v>
      </c>
      <c r="F1540" s="523" t="s">
        <v>4166</v>
      </c>
      <c r="G1540" s="524" t="s">
        <v>3663</v>
      </c>
      <c r="H1540" s="525" t="s">
        <v>3666</v>
      </c>
      <c r="I1540" s="474"/>
      <c r="J1540" s="475" t="s">
        <v>5723</v>
      </c>
    </row>
    <row r="1541" spans="1:10" ht="14.25" customHeight="1">
      <c r="A1541" s="559" t="s">
        <v>3428</v>
      </c>
      <c r="B1541" s="560" t="s">
        <v>3429</v>
      </c>
      <c r="C1541" s="559" t="s">
        <v>213</v>
      </c>
      <c r="D1541" s="472">
        <v>249.113</v>
      </c>
      <c r="E1541" s="522">
        <v>232.27699999999999</v>
      </c>
      <c r="F1541" s="523" t="s">
        <v>4166</v>
      </c>
      <c r="G1541" s="524" t="s">
        <v>3663</v>
      </c>
      <c r="H1541" s="525" t="s">
        <v>3666</v>
      </c>
      <c r="I1541" s="474"/>
      <c r="J1541" s="475" t="s">
        <v>5724</v>
      </c>
    </row>
    <row r="1542" spans="1:10" ht="14.25" customHeight="1">
      <c r="A1542" s="575" t="s">
        <v>2436</v>
      </c>
      <c r="B1542" s="576" t="s">
        <v>2437</v>
      </c>
      <c r="C1542" s="575" t="s">
        <v>5725</v>
      </c>
      <c r="D1542" s="472">
        <v>18.13</v>
      </c>
      <c r="E1542" s="522">
        <v>16.765999999999998</v>
      </c>
      <c r="F1542" s="523" t="s">
        <v>4166</v>
      </c>
      <c r="G1542" s="524" t="s">
        <v>3663</v>
      </c>
      <c r="H1542" s="525" t="s">
        <v>3666</v>
      </c>
      <c r="I1542" s="474"/>
      <c r="J1542" s="475" t="s">
        <v>5726</v>
      </c>
    </row>
    <row r="1543" spans="1:10" ht="14.25" customHeight="1">
      <c r="A1543" s="520" t="s">
        <v>2438</v>
      </c>
      <c r="B1543" s="521" t="s">
        <v>2439</v>
      </c>
      <c r="C1543" s="520" t="s">
        <v>213</v>
      </c>
      <c r="D1543" s="472">
        <v>3.105</v>
      </c>
      <c r="E1543" s="522">
        <v>2.871</v>
      </c>
      <c r="F1543" s="523" t="s">
        <v>4166</v>
      </c>
      <c r="G1543" s="524" t="s">
        <v>3663</v>
      </c>
      <c r="H1543" s="525" t="s">
        <v>3666</v>
      </c>
      <c r="I1543" s="474"/>
      <c r="J1543" s="475" t="s">
        <v>5727</v>
      </c>
    </row>
    <row r="1544" spans="1:10" ht="14.25" customHeight="1">
      <c r="A1544" s="520" t="s">
        <v>2440</v>
      </c>
      <c r="B1544" s="521" t="s">
        <v>2441</v>
      </c>
      <c r="C1544" s="520" t="s">
        <v>213</v>
      </c>
      <c r="D1544" s="472">
        <v>0.71399999999999997</v>
      </c>
      <c r="E1544" s="522">
        <v>0.66</v>
      </c>
      <c r="F1544" s="523" t="s">
        <v>4166</v>
      </c>
      <c r="G1544" s="527" t="s">
        <v>3662</v>
      </c>
      <c r="H1544" s="525" t="s">
        <v>3666</v>
      </c>
      <c r="I1544" s="474"/>
      <c r="J1544" s="475" t="s">
        <v>5728</v>
      </c>
    </row>
    <row r="1545" spans="1:10" ht="14.25" customHeight="1">
      <c r="A1545" s="520" t="s">
        <v>2442</v>
      </c>
      <c r="B1545" s="521" t="s">
        <v>2443</v>
      </c>
      <c r="C1545" s="520" t="s">
        <v>213</v>
      </c>
      <c r="D1545" s="472">
        <v>9.0999999999999998E-2</v>
      </c>
      <c r="E1545" s="522">
        <v>8.4000000000000005E-2</v>
      </c>
      <c r="F1545" s="523" t="s">
        <v>4166</v>
      </c>
      <c r="G1545" s="524" t="s">
        <v>3663</v>
      </c>
      <c r="H1545" s="525" t="s">
        <v>3666</v>
      </c>
      <c r="I1545" s="474"/>
      <c r="J1545" s="475" t="s">
        <v>5729</v>
      </c>
    </row>
    <row r="1546" spans="1:10" ht="14.25" customHeight="1">
      <c r="A1546" s="520" t="s">
        <v>2444</v>
      </c>
      <c r="B1546" s="521" t="s">
        <v>2445</v>
      </c>
      <c r="C1546" s="520" t="s">
        <v>213</v>
      </c>
      <c r="D1546" s="472">
        <v>0.219</v>
      </c>
      <c r="E1546" s="522">
        <v>0.33300000000000002</v>
      </c>
      <c r="F1546" s="523" t="s">
        <v>4166</v>
      </c>
      <c r="G1546" s="524"/>
      <c r="H1546" s="525" t="s">
        <v>3841</v>
      </c>
      <c r="I1546" s="474"/>
      <c r="J1546" s="475" t="s">
        <v>5730</v>
      </c>
    </row>
    <row r="1547" spans="1:10" ht="14.25" customHeight="1">
      <c r="A1547" s="520" t="s">
        <v>2446</v>
      </c>
      <c r="B1547" s="521" t="s">
        <v>2447</v>
      </c>
      <c r="C1547" s="520" t="s">
        <v>213</v>
      </c>
      <c r="D1547" s="472">
        <v>0.35</v>
      </c>
      <c r="E1547" s="522">
        <v>0.35499999999999998</v>
      </c>
      <c r="F1547" s="523" t="s">
        <v>4166</v>
      </c>
      <c r="G1547" s="524"/>
      <c r="H1547" s="525" t="s">
        <v>3841</v>
      </c>
      <c r="I1547" s="474"/>
      <c r="J1547" s="475" t="s">
        <v>5731</v>
      </c>
    </row>
    <row r="1548" spans="1:10" ht="14.25" customHeight="1">
      <c r="A1548" s="575" t="s">
        <v>2448</v>
      </c>
      <c r="B1548" s="576" t="s">
        <v>2449</v>
      </c>
      <c r="C1548" s="575" t="s">
        <v>5725</v>
      </c>
      <c r="D1548" s="472">
        <v>20.13</v>
      </c>
      <c r="E1548" s="522">
        <v>18.61</v>
      </c>
      <c r="F1548" s="523" t="s">
        <v>4166</v>
      </c>
      <c r="G1548" s="524" t="s">
        <v>3663</v>
      </c>
      <c r="H1548" s="525" t="s">
        <v>3666</v>
      </c>
      <c r="I1548" s="474"/>
      <c r="J1548" s="475" t="s">
        <v>5732</v>
      </c>
    </row>
    <row r="1549" spans="1:10" ht="14.25" customHeight="1">
      <c r="A1549" s="520" t="s">
        <v>2450</v>
      </c>
      <c r="B1549" s="521" t="s">
        <v>2451</v>
      </c>
      <c r="C1549" s="520" t="s">
        <v>213</v>
      </c>
      <c r="D1549" s="472">
        <v>3.2570000000000001</v>
      </c>
      <c r="E1549" s="522">
        <v>3.0110000000000001</v>
      </c>
      <c r="F1549" s="523" t="s">
        <v>4166</v>
      </c>
      <c r="G1549" s="524" t="s">
        <v>3663</v>
      </c>
      <c r="H1549" s="525" t="s">
        <v>3666</v>
      </c>
      <c r="I1549" s="474"/>
      <c r="J1549" s="475" t="s">
        <v>5733</v>
      </c>
    </row>
    <row r="1550" spans="1:10" ht="14.25" customHeight="1">
      <c r="A1550" s="575" t="s">
        <v>2452</v>
      </c>
      <c r="B1550" s="576" t="s">
        <v>2453</v>
      </c>
      <c r="C1550" s="575" t="s">
        <v>5725</v>
      </c>
      <c r="D1550" s="472">
        <v>20.077999999999999</v>
      </c>
      <c r="E1550" s="522">
        <v>18.562000000000001</v>
      </c>
      <c r="F1550" s="523" t="s">
        <v>4166</v>
      </c>
      <c r="G1550" s="524" t="s">
        <v>3663</v>
      </c>
      <c r="H1550" s="525" t="s">
        <v>3666</v>
      </c>
      <c r="I1550" s="474"/>
      <c r="J1550" s="475" t="s">
        <v>5734</v>
      </c>
    </row>
    <row r="1551" spans="1:10" ht="14.25" customHeight="1">
      <c r="A1551" s="575" t="s">
        <v>2454</v>
      </c>
      <c r="B1551" s="576" t="s">
        <v>2455</v>
      </c>
      <c r="C1551" s="575" t="s">
        <v>5725</v>
      </c>
      <c r="D1551" s="472">
        <v>22.077999999999999</v>
      </c>
      <c r="E1551" s="522">
        <v>20.411000000000001</v>
      </c>
      <c r="F1551" s="523" t="s">
        <v>4166</v>
      </c>
      <c r="G1551" s="524" t="s">
        <v>3663</v>
      </c>
      <c r="H1551" s="525" t="s">
        <v>3666</v>
      </c>
      <c r="I1551" s="474"/>
      <c r="J1551" s="475" t="s">
        <v>5735</v>
      </c>
    </row>
    <row r="1552" spans="1:10" ht="14.25" customHeight="1">
      <c r="A1552" s="575" t="s">
        <v>2456</v>
      </c>
      <c r="B1552" s="576" t="s">
        <v>2457</v>
      </c>
      <c r="C1552" s="575" t="s">
        <v>5725</v>
      </c>
      <c r="D1552" s="472">
        <v>23.753</v>
      </c>
      <c r="E1552" s="522">
        <v>22.1</v>
      </c>
      <c r="F1552" s="523" t="s">
        <v>4166</v>
      </c>
      <c r="G1552" s="524" t="s">
        <v>3663</v>
      </c>
      <c r="H1552" s="525" t="s">
        <v>3666</v>
      </c>
      <c r="I1552" s="474"/>
      <c r="J1552" s="475" t="s">
        <v>5736</v>
      </c>
    </row>
    <row r="1553" spans="1:10" ht="14.25" customHeight="1">
      <c r="A1553" s="575" t="s">
        <v>2458</v>
      </c>
      <c r="B1553" s="576" t="s">
        <v>2459</v>
      </c>
      <c r="C1553" s="575" t="s">
        <v>5725</v>
      </c>
      <c r="D1553" s="472">
        <v>25.753</v>
      </c>
      <c r="E1553" s="522">
        <v>23.949000000000002</v>
      </c>
      <c r="F1553" s="523" t="s">
        <v>4166</v>
      </c>
      <c r="G1553" s="524" t="s">
        <v>3663</v>
      </c>
      <c r="H1553" s="525" t="s">
        <v>3666</v>
      </c>
      <c r="I1553" s="474"/>
      <c r="J1553" s="475" t="s">
        <v>5737</v>
      </c>
    </row>
    <row r="1554" spans="1:10" ht="14.25" customHeight="1">
      <c r="A1554" s="575" t="s">
        <v>2460</v>
      </c>
      <c r="B1554" s="576" t="s">
        <v>2461</v>
      </c>
      <c r="C1554" s="575" t="s">
        <v>5725</v>
      </c>
      <c r="D1554" s="472">
        <v>12.129</v>
      </c>
      <c r="E1554" s="522">
        <v>11.212999999999999</v>
      </c>
      <c r="F1554" s="523" t="s">
        <v>4166</v>
      </c>
      <c r="G1554" s="524" t="s">
        <v>3663</v>
      </c>
      <c r="H1554" s="525" t="s">
        <v>3666</v>
      </c>
      <c r="I1554" s="474"/>
      <c r="J1554" s="475" t="s">
        <v>5738</v>
      </c>
    </row>
    <row r="1555" spans="1:10" ht="14.25" customHeight="1">
      <c r="A1555" s="575" t="s">
        <v>2462</v>
      </c>
      <c r="B1555" s="576" t="s">
        <v>2463</v>
      </c>
      <c r="C1555" s="575" t="s">
        <v>5725</v>
      </c>
      <c r="D1555" s="472">
        <v>14.129</v>
      </c>
      <c r="E1555" s="522">
        <v>13.063000000000001</v>
      </c>
      <c r="F1555" s="523" t="s">
        <v>4166</v>
      </c>
      <c r="G1555" s="524" t="s">
        <v>3663</v>
      </c>
      <c r="H1555" s="525" t="s">
        <v>3666</v>
      </c>
      <c r="I1555" s="474"/>
      <c r="J1555" s="475" t="s">
        <v>5739</v>
      </c>
    </row>
    <row r="1556" spans="1:10" ht="14.25" customHeight="1">
      <c r="A1556" s="575" t="s">
        <v>2464</v>
      </c>
      <c r="B1556" s="576" t="s">
        <v>2465</v>
      </c>
      <c r="C1556" s="575" t="s">
        <v>5725</v>
      </c>
      <c r="D1556" s="472">
        <v>18.13</v>
      </c>
      <c r="E1556" s="522">
        <v>16.760000000000002</v>
      </c>
      <c r="F1556" s="523" t="s">
        <v>4166</v>
      </c>
      <c r="G1556" s="524" t="s">
        <v>3663</v>
      </c>
      <c r="H1556" s="525" t="s">
        <v>3666</v>
      </c>
      <c r="I1556" s="474"/>
      <c r="J1556" s="475" t="s">
        <v>5740</v>
      </c>
    </row>
    <row r="1557" spans="1:10" ht="14.25" customHeight="1">
      <c r="A1557" s="520" t="s">
        <v>2466</v>
      </c>
      <c r="B1557" s="521" t="s">
        <v>2467</v>
      </c>
      <c r="C1557" s="520" t="s">
        <v>213</v>
      </c>
      <c r="D1557" s="472">
        <v>3.0979999999999999</v>
      </c>
      <c r="E1557" s="522">
        <v>2.8639999999999999</v>
      </c>
      <c r="F1557" s="523" t="s">
        <v>4166</v>
      </c>
      <c r="G1557" s="524" t="s">
        <v>3663</v>
      </c>
      <c r="H1557" s="525" t="s">
        <v>3666</v>
      </c>
      <c r="I1557" s="474"/>
      <c r="J1557" s="475" t="s">
        <v>5741</v>
      </c>
    </row>
    <row r="1558" spans="1:10" ht="14.25" customHeight="1">
      <c r="A1558" s="520" t="s">
        <v>2468</v>
      </c>
      <c r="B1558" s="521" t="s">
        <v>2469</v>
      </c>
      <c r="C1558" s="520" t="s">
        <v>213</v>
      </c>
      <c r="D1558" s="472">
        <v>0.71</v>
      </c>
      <c r="E1558" s="522">
        <v>0.65600000000000003</v>
      </c>
      <c r="F1558" s="523" t="s">
        <v>4166</v>
      </c>
      <c r="G1558" s="524" t="s">
        <v>3663</v>
      </c>
      <c r="H1558" s="525" t="s">
        <v>3666</v>
      </c>
      <c r="I1558" s="474"/>
      <c r="J1558" s="475" t="s">
        <v>5742</v>
      </c>
    </row>
    <row r="1559" spans="1:10" ht="14.25" customHeight="1">
      <c r="A1559" s="575" t="s">
        <v>2470</v>
      </c>
      <c r="B1559" s="576" t="s">
        <v>2471</v>
      </c>
      <c r="C1559" s="575" t="s">
        <v>5725</v>
      </c>
      <c r="D1559" s="472">
        <v>20.13</v>
      </c>
      <c r="E1559" s="522">
        <v>18.61</v>
      </c>
      <c r="F1559" s="523" t="s">
        <v>4166</v>
      </c>
      <c r="G1559" s="524" t="s">
        <v>3663</v>
      </c>
      <c r="H1559" s="525" t="s">
        <v>3666</v>
      </c>
      <c r="I1559" s="474"/>
      <c r="J1559" s="475" t="s">
        <v>5743</v>
      </c>
    </row>
    <row r="1560" spans="1:10" ht="14.25" customHeight="1">
      <c r="A1560" s="520" t="s">
        <v>2472</v>
      </c>
      <c r="B1560" s="521" t="s">
        <v>2473</v>
      </c>
      <c r="C1560" s="520" t="s">
        <v>213</v>
      </c>
      <c r="D1560" s="472">
        <v>3.2970000000000002</v>
      </c>
      <c r="E1560" s="522">
        <v>3.0489999999999999</v>
      </c>
      <c r="F1560" s="523" t="s">
        <v>4166</v>
      </c>
      <c r="G1560" s="524" t="s">
        <v>3663</v>
      </c>
      <c r="H1560" s="525" t="s">
        <v>3666</v>
      </c>
      <c r="I1560" s="474"/>
      <c r="J1560" s="475" t="s">
        <v>5744</v>
      </c>
    </row>
    <row r="1561" spans="1:10" ht="14.25" customHeight="1">
      <c r="A1561" s="575" t="s">
        <v>2474</v>
      </c>
      <c r="B1561" s="576" t="s">
        <v>2475</v>
      </c>
      <c r="C1561" s="575" t="s">
        <v>5725</v>
      </c>
      <c r="D1561" s="472">
        <v>20.077999999999999</v>
      </c>
      <c r="E1561" s="522">
        <v>18.562000000000001</v>
      </c>
      <c r="F1561" s="523" t="s">
        <v>4166</v>
      </c>
      <c r="G1561" s="524" t="s">
        <v>3663</v>
      </c>
      <c r="H1561" s="525" t="s">
        <v>3666</v>
      </c>
      <c r="I1561" s="474"/>
      <c r="J1561" s="475" t="s">
        <v>5745</v>
      </c>
    </row>
    <row r="1562" spans="1:10" ht="14.25" customHeight="1">
      <c r="A1562" s="575" t="s">
        <v>2476</v>
      </c>
      <c r="B1562" s="576" t="s">
        <v>2477</v>
      </c>
      <c r="C1562" s="575" t="s">
        <v>5725</v>
      </c>
      <c r="D1562" s="472">
        <v>22.077999999999999</v>
      </c>
      <c r="E1562" s="522">
        <v>20.411000000000001</v>
      </c>
      <c r="F1562" s="523" t="s">
        <v>4166</v>
      </c>
      <c r="G1562" s="524" t="s">
        <v>3663</v>
      </c>
      <c r="H1562" s="525" t="s">
        <v>3666</v>
      </c>
      <c r="I1562" s="474"/>
      <c r="J1562" s="475" t="s">
        <v>5746</v>
      </c>
    </row>
    <row r="1563" spans="1:10" ht="14.25" customHeight="1">
      <c r="A1563" s="575" t="s">
        <v>2478</v>
      </c>
      <c r="B1563" s="576" t="s">
        <v>2479</v>
      </c>
      <c r="C1563" s="575" t="s">
        <v>5725</v>
      </c>
      <c r="D1563" s="472">
        <v>23.753</v>
      </c>
      <c r="E1563" s="522">
        <v>22.1</v>
      </c>
      <c r="F1563" s="523" t="s">
        <v>4166</v>
      </c>
      <c r="G1563" s="524" t="s">
        <v>3663</v>
      </c>
      <c r="H1563" s="525" t="s">
        <v>3666</v>
      </c>
      <c r="I1563" s="474"/>
      <c r="J1563" s="475" t="s">
        <v>5747</v>
      </c>
    </row>
    <row r="1564" spans="1:10" ht="14.25" customHeight="1">
      <c r="A1564" s="575" t="s">
        <v>2480</v>
      </c>
      <c r="B1564" s="576" t="s">
        <v>2481</v>
      </c>
      <c r="C1564" s="575" t="s">
        <v>5725</v>
      </c>
      <c r="D1564" s="472">
        <v>25.753</v>
      </c>
      <c r="E1564" s="522">
        <v>23.949000000000002</v>
      </c>
      <c r="F1564" s="523" t="s">
        <v>4166</v>
      </c>
      <c r="G1564" s="524" t="s">
        <v>3663</v>
      </c>
      <c r="H1564" s="525" t="s">
        <v>3666</v>
      </c>
      <c r="I1564" s="474"/>
      <c r="J1564" s="475" t="s">
        <v>5748</v>
      </c>
    </row>
    <row r="1565" spans="1:10" ht="14.25" customHeight="1">
      <c r="A1565" s="575" t="s">
        <v>2482</v>
      </c>
      <c r="B1565" s="576" t="s">
        <v>2483</v>
      </c>
      <c r="C1565" s="575" t="s">
        <v>5725</v>
      </c>
      <c r="D1565" s="472">
        <v>12.129</v>
      </c>
      <c r="E1565" s="522">
        <v>11.212999999999999</v>
      </c>
      <c r="F1565" s="523" t="s">
        <v>4166</v>
      </c>
      <c r="G1565" s="524" t="s">
        <v>3663</v>
      </c>
      <c r="H1565" s="525" t="s">
        <v>3666</v>
      </c>
      <c r="I1565" s="474"/>
      <c r="J1565" s="475" t="s">
        <v>5749</v>
      </c>
    </row>
    <row r="1566" spans="1:10" ht="14.25" customHeight="1">
      <c r="A1566" s="575" t="s">
        <v>2484</v>
      </c>
      <c r="B1566" s="576" t="s">
        <v>2485</v>
      </c>
      <c r="C1566" s="575" t="s">
        <v>5725</v>
      </c>
      <c r="D1566" s="472">
        <v>14.129</v>
      </c>
      <c r="E1566" s="522">
        <v>13.063000000000001</v>
      </c>
      <c r="F1566" s="523" t="s">
        <v>4166</v>
      </c>
      <c r="G1566" s="524" t="s">
        <v>3663</v>
      </c>
      <c r="H1566" s="525" t="s">
        <v>3666</v>
      </c>
      <c r="I1566" s="474"/>
      <c r="J1566" s="475" t="s">
        <v>5750</v>
      </c>
    </row>
    <row r="1567" spans="1:10" ht="14.25" customHeight="1">
      <c r="A1567" s="575" t="s">
        <v>2486</v>
      </c>
      <c r="B1567" s="576" t="s">
        <v>2487</v>
      </c>
      <c r="C1567" s="575" t="s">
        <v>5725</v>
      </c>
      <c r="D1567" s="472">
        <v>18.13</v>
      </c>
      <c r="E1567" s="522">
        <v>16.760000000000002</v>
      </c>
      <c r="F1567" s="523" t="s">
        <v>4166</v>
      </c>
      <c r="G1567" s="524" t="s">
        <v>3663</v>
      </c>
      <c r="H1567" s="525" t="s">
        <v>3666</v>
      </c>
      <c r="I1567" s="474"/>
      <c r="J1567" s="475" t="s">
        <v>5751</v>
      </c>
    </row>
    <row r="1568" spans="1:10" ht="14.25" customHeight="1">
      <c r="A1568" s="520" t="s">
        <v>2488</v>
      </c>
      <c r="B1568" s="521" t="s">
        <v>2489</v>
      </c>
      <c r="C1568" s="520" t="s">
        <v>213</v>
      </c>
      <c r="D1568" s="472">
        <v>3.0979999999999999</v>
      </c>
      <c r="E1568" s="522">
        <v>2.8639999999999999</v>
      </c>
      <c r="F1568" s="523" t="s">
        <v>4166</v>
      </c>
      <c r="G1568" s="524" t="s">
        <v>3663</v>
      </c>
      <c r="H1568" s="525" t="s">
        <v>3666</v>
      </c>
      <c r="I1568" s="474"/>
      <c r="J1568" s="475" t="s">
        <v>5752</v>
      </c>
    </row>
    <row r="1569" spans="1:10" ht="14.25" customHeight="1">
      <c r="A1569" s="520" t="s">
        <v>2490</v>
      </c>
      <c r="B1569" s="521" t="s">
        <v>2491</v>
      </c>
      <c r="C1569" s="520" t="s">
        <v>213</v>
      </c>
      <c r="D1569" s="472">
        <v>0.71</v>
      </c>
      <c r="E1569" s="522">
        <v>0.65600000000000003</v>
      </c>
      <c r="F1569" s="523" t="s">
        <v>4166</v>
      </c>
      <c r="G1569" s="524" t="s">
        <v>3663</v>
      </c>
      <c r="H1569" s="525" t="s">
        <v>3666</v>
      </c>
      <c r="I1569" s="474"/>
      <c r="J1569" s="475" t="s">
        <v>5753</v>
      </c>
    </row>
    <row r="1570" spans="1:10" ht="14.25" customHeight="1">
      <c r="A1570" s="520" t="s">
        <v>2492</v>
      </c>
      <c r="B1570" s="521" t="s">
        <v>2493</v>
      </c>
      <c r="C1570" s="520" t="s">
        <v>213</v>
      </c>
      <c r="D1570" s="472">
        <v>0.436</v>
      </c>
      <c r="E1570" s="522">
        <v>0.38200000000000001</v>
      </c>
      <c r="F1570" s="523" t="s">
        <v>4166</v>
      </c>
      <c r="G1570" s="524"/>
      <c r="H1570" s="525" t="s">
        <v>3666</v>
      </c>
      <c r="I1570" s="474"/>
      <c r="J1570" s="475" t="s">
        <v>5754</v>
      </c>
    </row>
    <row r="1571" spans="1:10" ht="14.25" customHeight="1">
      <c r="A1571" s="575" t="s">
        <v>2494</v>
      </c>
      <c r="B1571" s="576" t="s">
        <v>2495</v>
      </c>
      <c r="C1571" s="575" t="s">
        <v>5725</v>
      </c>
      <c r="D1571" s="472">
        <v>20.13</v>
      </c>
      <c r="E1571" s="522">
        <v>18.61</v>
      </c>
      <c r="F1571" s="523" t="s">
        <v>4166</v>
      </c>
      <c r="G1571" s="524" t="s">
        <v>3663</v>
      </c>
      <c r="H1571" s="525" t="s">
        <v>3666</v>
      </c>
      <c r="I1571" s="474"/>
      <c r="J1571" s="475" t="s">
        <v>5755</v>
      </c>
    </row>
    <row r="1572" spans="1:10" ht="14.25" customHeight="1">
      <c r="A1572" s="520" t="s">
        <v>2496</v>
      </c>
      <c r="B1572" s="521" t="s">
        <v>2497</v>
      </c>
      <c r="C1572" s="520" t="s">
        <v>213</v>
      </c>
      <c r="D1572" s="472">
        <v>3.2970000000000002</v>
      </c>
      <c r="E1572" s="522">
        <v>3.0489999999999999</v>
      </c>
      <c r="F1572" s="523" t="s">
        <v>4166</v>
      </c>
      <c r="G1572" s="524" t="s">
        <v>3663</v>
      </c>
      <c r="H1572" s="525" t="s">
        <v>3666</v>
      </c>
      <c r="I1572" s="474"/>
      <c r="J1572" s="475" t="s">
        <v>5756</v>
      </c>
    </row>
    <row r="1573" spans="1:10" ht="14.25" customHeight="1">
      <c r="A1573" s="575" t="s">
        <v>2498</v>
      </c>
      <c r="B1573" s="576" t="s">
        <v>2499</v>
      </c>
      <c r="C1573" s="575" t="s">
        <v>5725</v>
      </c>
      <c r="D1573" s="472">
        <v>20.077999999999999</v>
      </c>
      <c r="E1573" s="522">
        <v>18.562000000000001</v>
      </c>
      <c r="F1573" s="523" t="s">
        <v>4166</v>
      </c>
      <c r="G1573" s="524" t="s">
        <v>3663</v>
      </c>
      <c r="H1573" s="525" t="s">
        <v>3666</v>
      </c>
      <c r="I1573" s="474"/>
      <c r="J1573" s="475" t="s">
        <v>5757</v>
      </c>
    </row>
    <row r="1574" spans="1:10" ht="14.25" customHeight="1">
      <c r="A1574" s="575" t="s">
        <v>2500</v>
      </c>
      <c r="B1574" s="576" t="s">
        <v>2501</v>
      </c>
      <c r="C1574" s="575" t="s">
        <v>5725</v>
      </c>
      <c r="D1574" s="472">
        <v>22.077999999999999</v>
      </c>
      <c r="E1574" s="522">
        <v>20.411000000000001</v>
      </c>
      <c r="F1574" s="523" t="s">
        <v>4166</v>
      </c>
      <c r="G1574" s="524" t="s">
        <v>3663</v>
      </c>
      <c r="H1574" s="525" t="s">
        <v>3666</v>
      </c>
      <c r="I1574" s="474"/>
      <c r="J1574" s="475" t="s">
        <v>5758</v>
      </c>
    </row>
    <row r="1575" spans="1:10" ht="14.25" customHeight="1">
      <c r="A1575" s="575" t="s">
        <v>2502</v>
      </c>
      <c r="B1575" s="576" t="s">
        <v>2503</v>
      </c>
      <c r="C1575" s="575" t="s">
        <v>5725</v>
      </c>
      <c r="D1575" s="472">
        <v>23.753</v>
      </c>
      <c r="E1575" s="522">
        <v>22.1</v>
      </c>
      <c r="F1575" s="523" t="s">
        <v>4166</v>
      </c>
      <c r="G1575" s="524" t="s">
        <v>3663</v>
      </c>
      <c r="H1575" s="525" t="s">
        <v>3666</v>
      </c>
      <c r="I1575" s="474"/>
      <c r="J1575" s="475" t="s">
        <v>5759</v>
      </c>
    </row>
    <row r="1576" spans="1:10" ht="14.25" customHeight="1">
      <c r="A1576" s="575" t="s">
        <v>2504</v>
      </c>
      <c r="B1576" s="576" t="s">
        <v>2505</v>
      </c>
      <c r="C1576" s="575" t="s">
        <v>5725</v>
      </c>
      <c r="D1576" s="472">
        <v>25.753</v>
      </c>
      <c r="E1576" s="522">
        <v>23.949000000000002</v>
      </c>
      <c r="F1576" s="523" t="s">
        <v>4166</v>
      </c>
      <c r="G1576" s="524" t="s">
        <v>3663</v>
      </c>
      <c r="H1576" s="525" t="s">
        <v>3666</v>
      </c>
      <c r="I1576" s="474"/>
      <c r="J1576" s="475" t="s">
        <v>5760</v>
      </c>
    </row>
    <row r="1577" spans="1:10" ht="14.25" customHeight="1">
      <c r="A1577" s="575" t="s">
        <v>2506</v>
      </c>
      <c r="B1577" s="576" t="s">
        <v>2507</v>
      </c>
      <c r="C1577" s="575" t="s">
        <v>5725</v>
      </c>
      <c r="D1577" s="472">
        <v>12.129</v>
      </c>
      <c r="E1577" s="522">
        <v>11.212999999999999</v>
      </c>
      <c r="F1577" s="523" t="s">
        <v>4166</v>
      </c>
      <c r="G1577" s="524" t="s">
        <v>3663</v>
      </c>
      <c r="H1577" s="525" t="s">
        <v>3666</v>
      </c>
      <c r="I1577" s="474"/>
      <c r="J1577" s="475" t="s">
        <v>5761</v>
      </c>
    </row>
    <row r="1578" spans="1:10" ht="14.25" customHeight="1">
      <c r="A1578" s="575" t="s">
        <v>2508</v>
      </c>
      <c r="B1578" s="576" t="s">
        <v>2509</v>
      </c>
      <c r="C1578" s="575" t="s">
        <v>5725</v>
      </c>
      <c r="D1578" s="472">
        <v>14.129</v>
      </c>
      <c r="E1578" s="522">
        <v>13.063000000000001</v>
      </c>
      <c r="F1578" s="523" t="s">
        <v>4166</v>
      </c>
      <c r="G1578" s="524" t="s">
        <v>3663</v>
      </c>
      <c r="H1578" s="525" t="s">
        <v>3666</v>
      </c>
      <c r="I1578" s="474"/>
      <c r="J1578" s="475" t="s">
        <v>5762</v>
      </c>
    </row>
    <row r="1579" spans="1:10" ht="14.25" customHeight="1">
      <c r="A1579" s="575" t="s">
        <v>2510</v>
      </c>
      <c r="B1579" s="576" t="s">
        <v>2511</v>
      </c>
      <c r="C1579" s="575" t="s">
        <v>5725</v>
      </c>
      <c r="D1579" s="472">
        <v>18.13</v>
      </c>
      <c r="E1579" s="522">
        <v>16.760000000000002</v>
      </c>
      <c r="F1579" s="523" t="s">
        <v>4166</v>
      </c>
      <c r="G1579" s="524" t="s">
        <v>3663</v>
      </c>
      <c r="H1579" s="525" t="s">
        <v>3666</v>
      </c>
      <c r="I1579" s="474"/>
      <c r="J1579" s="475" t="s">
        <v>5763</v>
      </c>
    </row>
    <row r="1580" spans="1:10" ht="14.25" customHeight="1">
      <c r="A1580" s="520" t="s">
        <v>2512</v>
      </c>
      <c r="B1580" s="521" t="s">
        <v>2513</v>
      </c>
      <c r="C1580" s="520" t="s">
        <v>213</v>
      </c>
      <c r="D1580" s="472">
        <v>3.0979999999999999</v>
      </c>
      <c r="E1580" s="522">
        <v>2.8639999999999999</v>
      </c>
      <c r="F1580" s="523" t="s">
        <v>4166</v>
      </c>
      <c r="G1580" s="524" t="s">
        <v>3663</v>
      </c>
      <c r="H1580" s="525" t="s">
        <v>3666</v>
      </c>
      <c r="I1580" s="474"/>
      <c r="J1580" s="475" t="s">
        <v>5764</v>
      </c>
    </row>
    <row r="1581" spans="1:10" ht="14.25" customHeight="1">
      <c r="A1581" s="575" t="s">
        <v>2514</v>
      </c>
      <c r="B1581" s="576" t="s">
        <v>2515</v>
      </c>
      <c r="C1581" s="575" t="s">
        <v>5725</v>
      </c>
      <c r="D1581" s="472">
        <v>20.13</v>
      </c>
      <c r="E1581" s="522">
        <v>18.61</v>
      </c>
      <c r="F1581" s="523" t="s">
        <v>4166</v>
      </c>
      <c r="G1581" s="524" t="s">
        <v>3663</v>
      </c>
      <c r="H1581" s="525" t="s">
        <v>3666</v>
      </c>
      <c r="I1581" s="474"/>
      <c r="J1581" s="475" t="s">
        <v>5765</v>
      </c>
    </row>
    <row r="1582" spans="1:10" ht="14.25" customHeight="1">
      <c r="A1582" s="520" t="s">
        <v>2516</v>
      </c>
      <c r="B1582" s="521" t="s">
        <v>2517</v>
      </c>
      <c r="C1582" s="520" t="s">
        <v>213</v>
      </c>
      <c r="D1582" s="472">
        <v>3.2959999999999998</v>
      </c>
      <c r="E1582" s="522">
        <v>3.048</v>
      </c>
      <c r="F1582" s="523" t="s">
        <v>4166</v>
      </c>
      <c r="G1582" s="524" t="s">
        <v>3663</v>
      </c>
      <c r="H1582" s="525" t="s">
        <v>3666</v>
      </c>
      <c r="I1582" s="474"/>
      <c r="J1582" s="475" t="s">
        <v>5766</v>
      </c>
    </row>
    <row r="1583" spans="1:10" ht="14.25" customHeight="1">
      <c r="A1583" s="575" t="s">
        <v>2518</v>
      </c>
      <c r="B1583" s="576" t="s">
        <v>2519</v>
      </c>
      <c r="C1583" s="575" t="s">
        <v>5725</v>
      </c>
      <c r="D1583" s="472">
        <v>20.077999999999999</v>
      </c>
      <c r="E1583" s="522">
        <v>18.562000000000001</v>
      </c>
      <c r="F1583" s="523" t="s">
        <v>4166</v>
      </c>
      <c r="G1583" s="524" t="s">
        <v>3663</v>
      </c>
      <c r="H1583" s="525" t="s">
        <v>3666</v>
      </c>
      <c r="I1583" s="474"/>
      <c r="J1583" s="475" t="s">
        <v>5767</v>
      </c>
    </row>
    <row r="1584" spans="1:10" ht="14.25" customHeight="1">
      <c r="A1584" s="575" t="s">
        <v>2520</v>
      </c>
      <c r="B1584" s="576" t="s">
        <v>2521</v>
      </c>
      <c r="C1584" s="575" t="s">
        <v>5725</v>
      </c>
      <c r="D1584" s="472">
        <v>22.077999999999999</v>
      </c>
      <c r="E1584" s="522">
        <v>20.411000000000001</v>
      </c>
      <c r="F1584" s="523" t="s">
        <v>4166</v>
      </c>
      <c r="G1584" s="524" t="s">
        <v>3663</v>
      </c>
      <c r="H1584" s="525" t="s">
        <v>3666</v>
      </c>
      <c r="I1584" s="474"/>
      <c r="J1584" s="475" t="s">
        <v>5768</v>
      </c>
    </row>
    <row r="1585" spans="1:10" ht="14.25" customHeight="1">
      <c r="A1585" s="575" t="s">
        <v>2522</v>
      </c>
      <c r="B1585" s="576" t="s">
        <v>2523</v>
      </c>
      <c r="C1585" s="575" t="s">
        <v>5725</v>
      </c>
      <c r="D1585" s="472">
        <v>23.753</v>
      </c>
      <c r="E1585" s="522">
        <v>22.1</v>
      </c>
      <c r="F1585" s="523" t="s">
        <v>4166</v>
      </c>
      <c r="G1585" s="524" t="s">
        <v>3663</v>
      </c>
      <c r="H1585" s="525" t="s">
        <v>3666</v>
      </c>
      <c r="I1585" s="474"/>
      <c r="J1585" s="475" t="s">
        <v>5769</v>
      </c>
    </row>
    <row r="1586" spans="1:10" ht="14.25" customHeight="1">
      <c r="A1586" s="575" t="s">
        <v>2524</v>
      </c>
      <c r="B1586" s="576" t="s">
        <v>2525</v>
      </c>
      <c r="C1586" s="575" t="s">
        <v>5725</v>
      </c>
      <c r="D1586" s="472">
        <v>25.753</v>
      </c>
      <c r="E1586" s="522">
        <v>23.949000000000002</v>
      </c>
      <c r="F1586" s="523" t="s">
        <v>4166</v>
      </c>
      <c r="G1586" s="524" t="s">
        <v>3663</v>
      </c>
      <c r="H1586" s="525" t="s">
        <v>3666</v>
      </c>
      <c r="I1586" s="474"/>
      <c r="J1586" s="475" t="s">
        <v>5770</v>
      </c>
    </row>
    <row r="1587" spans="1:10" ht="14.25" customHeight="1">
      <c r="A1587" s="575" t="s">
        <v>2526</v>
      </c>
      <c r="B1587" s="576" t="s">
        <v>2527</v>
      </c>
      <c r="C1587" s="575" t="s">
        <v>5725</v>
      </c>
      <c r="D1587" s="472">
        <v>12.129</v>
      </c>
      <c r="E1587" s="522">
        <v>11.212999999999999</v>
      </c>
      <c r="F1587" s="523" t="s">
        <v>4166</v>
      </c>
      <c r="G1587" s="524" t="s">
        <v>3663</v>
      </c>
      <c r="H1587" s="525" t="s">
        <v>3666</v>
      </c>
      <c r="I1587" s="474"/>
      <c r="J1587" s="475" t="s">
        <v>5771</v>
      </c>
    </row>
    <row r="1588" spans="1:10" ht="14.25" customHeight="1">
      <c r="A1588" s="575" t="s">
        <v>2528</v>
      </c>
      <c r="B1588" s="576" t="s">
        <v>2529</v>
      </c>
      <c r="C1588" s="575" t="s">
        <v>5725</v>
      </c>
      <c r="D1588" s="472">
        <v>14.129</v>
      </c>
      <c r="E1588" s="522">
        <v>13.063000000000001</v>
      </c>
      <c r="F1588" s="523" t="s">
        <v>4166</v>
      </c>
      <c r="G1588" s="524" t="s">
        <v>3663</v>
      </c>
      <c r="H1588" s="525" t="s">
        <v>3666</v>
      </c>
      <c r="I1588" s="474"/>
      <c r="J1588" s="475" t="s">
        <v>5772</v>
      </c>
    </row>
    <row r="1589" spans="1:10" ht="14.25" customHeight="1">
      <c r="A1589" s="575" t="s">
        <v>2530</v>
      </c>
      <c r="B1589" s="576" t="s">
        <v>2531</v>
      </c>
      <c r="C1589" s="575" t="s">
        <v>5725</v>
      </c>
      <c r="D1589" s="472">
        <v>20.143999999999998</v>
      </c>
      <c r="E1589" s="522">
        <v>18.623000000000001</v>
      </c>
      <c r="F1589" s="523" t="s">
        <v>4166</v>
      </c>
      <c r="G1589" s="524" t="s">
        <v>3663</v>
      </c>
      <c r="H1589" s="525" t="s">
        <v>3666</v>
      </c>
      <c r="I1589" s="474"/>
      <c r="J1589" s="475" t="s">
        <v>5773</v>
      </c>
    </row>
    <row r="1590" spans="1:10" ht="14.25" customHeight="1">
      <c r="A1590" s="520" t="s">
        <v>2532</v>
      </c>
      <c r="B1590" s="521" t="s">
        <v>2533</v>
      </c>
      <c r="C1590" s="520" t="s">
        <v>213</v>
      </c>
      <c r="D1590" s="472">
        <v>3.1120000000000001</v>
      </c>
      <c r="E1590" s="522">
        <v>2.8769999999999998</v>
      </c>
      <c r="F1590" s="523" t="s">
        <v>4166</v>
      </c>
      <c r="G1590" s="524" t="s">
        <v>3663</v>
      </c>
      <c r="H1590" s="525" t="s">
        <v>3666</v>
      </c>
      <c r="I1590" s="474"/>
      <c r="J1590" s="475" t="s">
        <v>5774</v>
      </c>
    </row>
    <row r="1591" spans="1:10" ht="14.25" customHeight="1">
      <c r="A1591" s="575" t="s">
        <v>2534</v>
      </c>
      <c r="B1591" s="576" t="s">
        <v>2535</v>
      </c>
      <c r="C1591" s="575" t="s">
        <v>5725</v>
      </c>
      <c r="D1591" s="472">
        <v>22.367000000000001</v>
      </c>
      <c r="E1591" s="522">
        <v>20.677</v>
      </c>
      <c r="F1591" s="523" t="s">
        <v>4166</v>
      </c>
      <c r="G1591" s="524" t="s">
        <v>3663</v>
      </c>
      <c r="H1591" s="525" t="s">
        <v>3666</v>
      </c>
      <c r="I1591" s="474"/>
      <c r="J1591" s="475" t="s">
        <v>5775</v>
      </c>
    </row>
    <row r="1592" spans="1:10" ht="14.25" customHeight="1">
      <c r="A1592" s="520" t="s">
        <v>2536</v>
      </c>
      <c r="B1592" s="521" t="s">
        <v>2537</v>
      </c>
      <c r="C1592" s="520" t="s">
        <v>213</v>
      </c>
      <c r="D1592" s="472">
        <v>3.3109999999999999</v>
      </c>
      <c r="E1592" s="522">
        <v>3.0609999999999999</v>
      </c>
      <c r="F1592" s="523" t="s">
        <v>4166</v>
      </c>
      <c r="G1592" s="524" t="s">
        <v>3663</v>
      </c>
      <c r="H1592" s="525" t="s">
        <v>3666</v>
      </c>
      <c r="I1592" s="474"/>
      <c r="J1592" s="475" t="s">
        <v>5776</v>
      </c>
    </row>
    <row r="1593" spans="1:10" ht="14.25" customHeight="1">
      <c r="A1593" s="575" t="s">
        <v>2538</v>
      </c>
      <c r="B1593" s="576" t="s">
        <v>2539</v>
      </c>
      <c r="C1593" s="575" t="s">
        <v>5725</v>
      </c>
      <c r="D1593" s="472">
        <v>22.309000000000001</v>
      </c>
      <c r="E1593" s="522">
        <v>20.623999999999999</v>
      </c>
      <c r="F1593" s="523" t="s">
        <v>4166</v>
      </c>
      <c r="G1593" s="524" t="s">
        <v>3663</v>
      </c>
      <c r="H1593" s="525" t="s">
        <v>3666</v>
      </c>
      <c r="I1593" s="474"/>
      <c r="J1593" s="475" t="s">
        <v>5777</v>
      </c>
    </row>
    <row r="1594" spans="1:10" ht="14.25" customHeight="1">
      <c r="A1594" s="575" t="s">
        <v>2540</v>
      </c>
      <c r="B1594" s="576" t="s">
        <v>2541</v>
      </c>
      <c r="C1594" s="575" t="s">
        <v>5725</v>
      </c>
      <c r="D1594" s="472">
        <v>24.530999999999999</v>
      </c>
      <c r="E1594" s="522">
        <v>22.678000000000001</v>
      </c>
      <c r="F1594" s="523" t="s">
        <v>4166</v>
      </c>
      <c r="G1594" s="524" t="s">
        <v>3663</v>
      </c>
      <c r="H1594" s="525" t="s">
        <v>3666</v>
      </c>
      <c r="I1594" s="474"/>
      <c r="J1594" s="475" t="s">
        <v>5778</v>
      </c>
    </row>
    <row r="1595" spans="1:10" ht="14.25" customHeight="1">
      <c r="A1595" s="575" t="s">
        <v>2542</v>
      </c>
      <c r="B1595" s="576" t="s">
        <v>2543</v>
      </c>
      <c r="C1595" s="575" t="s">
        <v>5725</v>
      </c>
      <c r="D1595" s="472">
        <v>26.294</v>
      </c>
      <c r="E1595" s="522">
        <v>24.448</v>
      </c>
      <c r="F1595" s="523" t="s">
        <v>4166</v>
      </c>
      <c r="G1595" s="524" t="s">
        <v>3663</v>
      </c>
      <c r="H1595" s="525" t="s">
        <v>3666</v>
      </c>
      <c r="I1595" s="474"/>
      <c r="J1595" s="475" t="s">
        <v>5779</v>
      </c>
    </row>
    <row r="1596" spans="1:10" ht="14.25" customHeight="1">
      <c r="A1596" s="575" t="s">
        <v>2544</v>
      </c>
      <c r="B1596" s="576" t="s">
        <v>2545</v>
      </c>
      <c r="C1596" s="575" t="s">
        <v>5725</v>
      </c>
      <c r="D1596" s="472">
        <v>28.515999999999998</v>
      </c>
      <c r="E1596" s="522">
        <v>26.504000000000001</v>
      </c>
      <c r="F1596" s="523" t="s">
        <v>4166</v>
      </c>
      <c r="G1596" s="524" t="s">
        <v>3663</v>
      </c>
      <c r="H1596" s="525" t="s">
        <v>3666</v>
      </c>
      <c r="I1596" s="474"/>
      <c r="J1596" s="475" t="s">
        <v>5780</v>
      </c>
    </row>
    <row r="1597" spans="1:10" ht="14.25" customHeight="1">
      <c r="A1597" s="575" t="s">
        <v>2546</v>
      </c>
      <c r="B1597" s="576" t="s">
        <v>2547</v>
      </c>
      <c r="C1597" s="575" t="s">
        <v>5725</v>
      </c>
      <c r="D1597" s="472">
        <v>13.477</v>
      </c>
      <c r="E1597" s="522">
        <v>12.459</v>
      </c>
      <c r="F1597" s="523" t="s">
        <v>4166</v>
      </c>
      <c r="G1597" s="524" t="s">
        <v>3663</v>
      </c>
      <c r="H1597" s="525" t="s">
        <v>3666</v>
      </c>
      <c r="I1597" s="474"/>
      <c r="J1597" s="475" t="s">
        <v>5781</v>
      </c>
    </row>
    <row r="1598" spans="1:10" ht="14.25" customHeight="1">
      <c r="A1598" s="575" t="s">
        <v>2548</v>
      </c>
      <c r="B1598" s="576" t="s">
        <v>2549</v>
      </c>
      <c r="C1598" s="575" t="s">
        <v>5725</v>
      </c>
      <c r="D1598" s="472">
        <v>15.699</v>
      </c>
      <c r="E1598" s="522">
        <v>14.513999999999999</v>
      </c>
      <c r="F1598" s="523" t="s">
        <v>4166</v>
      </c>
      <c r="G1598" s="524" t="s">
        <v>3663</v>
      </c>
      <c r="H1598" s="525" t="s">
        <v>3666</v>
      </c>
      <c r="I1598" s="474"/>
      <c r="J1598" s="475" t="s">
        <v>5782</v>
      </c>
    </row>
    <row r="1599" spans="1:10" ht="14.25" customHeight="1">
      <c r="A1599" s="575" t="s">
        <v>4081</v>
      </c>
      <c r="B1599" s="576" t="s">
        <v>4082</v>
      </c>
      <c r="C1599" s="575" t="s">
        <v>5725</v>
      </c>
      <c r="D1599" s="472">
        <v>20.13</v>
      </c>
      <c r="E1599" s="522">
        <v>18.61</v>
      </c>
      <c r="F1599" s="523" t="s">
        <v>4166</v>
      </c>
      <c r="G1599" s="524" t="s">
        <v>3663</v>
      </c>
      <c r="H1599" s="525" t="s">
        <v>3666</v>
      </c>
      <c r="I1599" s="474"/>
      <c r="J1599" s="475" t="s">
        <v>5783</v>
      </c>
    </row>
    <row r="1600" spans="1:10" ht="14.25" customHeight="1">
      <c r="A1600" s="520" t="s">
        <v>4083</v>
      </c>
      <c r="B1600" s="521" t="s">
        <v>4084</v>
      </c>
      <c r="C1600" s="520" t="s">
        <v>213</v>
      </c>
      <c r="D1600" s="472">
        <v>3.2959999999999998</v>
      </c>
      <c r="E1600" s="522">
        <v>3.048</v>
      </c>
      <c r="F1600" s="523" t="s">
        <v>4166</v>
      </c>
      <c r="G1600" s="524" t="s">
        <v>3663</v>
      </c>
      <c r="H1600" s="525" t="s">
        <v>3666</v>
      </c>
      <c r="I1600" s="474"/>
      <c r="J1600" s="475" t="s">
        <v>5784</v>
      </c>
    </row>
    <row r="1601" spans="1:10" ht="14.25" customHeight="1">
      <c r="A1601" s="520" t="s">
        <v>2550</v>
      </c>
      <c r="B1601" s="521" t="s">
        <v>4085</v>
      </c>
      <c r="C1601" s="520" t="s">
        <v>213</v>
      </c>
      <c r="D1601" s="472">
        <v>0.29899999999999999</v>
      </c>
      <c r="E1601" s="522">
        <v>0.28399999999999997</v>
      </c>
      <c r="F1601" s="523" t="s">
        <v>4166</v>
      </c>
      <c r="G1601" s="526" t="s">
        <v>3668</v>
      </c>
      <c r="H1601" s="525" t="s">
        <v>3669</v>
      </c>
      <c r="I1601" s="474">
        <v>4016.93</v>
      </c>
      <c r="J1601" s="475" t="s">
        <v>5785</v>
      </c>
    </row>
    <row r="1602" spans="1:10" ht="14.25" customHeight="1">
      <c r="A1602" s="520" t="s">
        <v>2551</v>
      </c>
      <c r="B1602" s="521" t="s">
        <v>2552</v>
      </c>
      <c r="C1602" s="520" t="s">
        <v>213</v>
      </c>
      <c r="D1602" s="472">
        <v>2.5139999999999998</v>
      </c>
      <c r="E1602" s="522">
        <v>2.3919999999999999</v>
      </c>
      <c r="F1602" s="523" t="s">
        <v>4166</v>
      </c>
      <c r="G1602" s="526" t="s">
        <v>3668</v>
      </c>
      <c r="H1602" s="525" t="s">
        <v>3669</v>
      </c>
      <c r="I1602" s="474">
        <v>4016.93</v>
      </c>
      <c r="J1602" s="475" t="s">
        <v>5786</v>
      </c>
    </row>
    <row r="1603" spans="1:10" ht="14.25" customHeight="1">
      <c r="A1603" s="575" t="s">
        <v>2553</v>
      </c>
      <c r="B1603" s="576" t="s">
        <v>2554</v>
      </c>
      <c r="C1603" s="575" t="s">
        <v>5725</v>
      </c>
      <c r="D1603" s="472">
        <v>20.13</v>
      </c>
      <c r="E1603" s="522">
        <v>18.61</v>
      </c>
      <c r="F1603" s="523" t="s">
        <v>4166</v>
      </c>
      <c r="G1603" s="524" t="s">
        <v>3663</v>
      </c>
      <c r="H1603" s="525" t="s">
        <v>3666</v>
      </c>
      <c r="I1603" s="474"/>
      <c r="J1603" s="475" t="s">
        <v>5787</v>
      </c>
    </row>
    <row r="1604" spans="1:10" ht="14.25" customHeight="1">
      <c r="A1604" s="520" t="s">
        <v>2555</v>
      </c>
      <c r="B1604" s="521" t="s">
        <v>2556</v>
      </c>
      <c r="C1604" s="520" t="s">
        <v>213</v>
      </c>
      <c r="D1604" s="472">
        <v>3.2959999999999998</v>
      </c>
      <c r="E1604" s="522">
        <v>3.048</v>
      </c>
      <c r="F1604" s="523" t="s">
        <v>4166</v>
      </c>
      <c r="G1604" s="524" t="s">
        <v>3663</v>
      </c>
      <c r="H1604" s="525" t="s">
        <v>3666</v>
      </c>
      <c r="I1604" s="474"/>
      <c r="J1604" s="475" t="s">
        <v>5788</v>
      </c>
    </row>
    <row r="1605" spans="1:10" ht="14.25" customHeight="1">
      <c r="A1605" s="575" t="s">
        <v>2557</v>
      </c>
      <c r="B1605" s="576" t="s">
        <v>2558</v>
      </c>
      <c r="C1605" s="575" t="s">
        <v>5725</v>
      </c>
      <c r="D1605" s="472">
        <v>22.077999999999999</v>
      </c>
      <c r="E1605" s="522">
        <v>20.411000000000001</v>
      </c>
      <c r="F1605" s="523" t="s">
        <v>4166</v>
      </c>
      <c r="G1605" s="524" t="s">
        <v>3663</v>
      </c>
      <c r="H1605" s="525" t="s">
        <v>3666</v>
      </c>
      <c r="I1605" s="474"/>
      <c r="J1605" s="475" t="s">
        <v>5789</v>
      </c>
    </row>
    <row r="1606" spans="1:10" ht="14.25" customHeight="1">
      <c r="A1606" s="575" t="s">
        <v>2559</v>
      </c>
      <c r="B1606" s="576" t="s">
        <v>2560</v>
      </c>
      <c r="C1606" s="575" t="s">
        <v>5725</v>
      </c>
      <c r="D1606" s="472">
        <v>25.753</v>
      </c>
      <c r="E1606" s="522">
        <v>23.949000000000002</v>
      </c>
      <c r="F1606" s="523" t="s">
        <v>4166</v>
      </c>
      <c r="G1606" s="524" t="s">
        <v>3663</v>
      </c>
      <c r="H1606" s="525" t="s">
        <v>3666</v>
      </c>
      <c r="I1606" s="474"/>
      <c r="J1606" s="475" t="s">
        <v>5790</v>
      </c>
    </row>
    <row r="1607" spans="1:10" ht="14.25" customHeight="1">
      <c r="A1607" s="575" t="s">
        <v>2561</v>
      </c>
      <c r="B1607" s="576" t="s">
        <v>2562</v>
      </c>
      <c r="C1607" s="575" t="s">
        <v>5725</v>
      </c>
      <c r="D1607" s="472">
        <v>14.129</v>
      </c>
      <c r="E1607" s="522">
        <v>13.063000000000001</v>
      </c>
      <c r="F1607" s="523" t="s">
        <v>4166</v>
      </c>
      <c r="G1607" s="524" t="s">
        <v>3663</v>
      </c>
      <c r="H1607" s="525" t="s">
        <v>3666</v>
      </c>
      <c r="I1607" s="474"/>
      <c r="J1607" s="475" t="s">
        <v>5791</v>
      </c>
    </row>
    <row r="1608" spans="1:10" ht="14.25" customHeight="1">
      <c r="A1608" s="575" t="s">
        <v>2563</v>
      </c>
      <c r="B1608" s="576" t="s">
        <v>2564</v>
      </c>
      <c r="C1608" s="575" t="s">
        <v>5725</v>
      </c>
      <c r="D1608" s="472">
        <v>7.74</v>
      </c>
      <c r="E1608" s="522">
        <v>7.1550000000000002</v>
      </c>
      <c r="F1608" s="523" t="s">
        <v>4166</v>
      </c>
      <c r="G1608" s="524" t="s">
        <v>3663</v>
      </c>
      <c r="H1608" s="525" t="s">
        <v>3666</v>
      </c>
      <c r="I1608" s="474"/>
      <c r="J1608" s="475" t="s">
        <v>5792</v>
      </c>
    </row>
    <row r="1609" spans="1:10" ht="14.25" customHeight="1">
      <c r="A1609" s="520" t="s">
        <v>2565</v>
      </c>
      <c r="B1609" s="521" t="s">
        <v>2566</v>
      </c>
      <c r="C1609" s="520" t="s">
        <v>213</v>
      </c>
      <c r="D1609" s="472">
        <v>1.5229999999999999</v>
      </c>
      <c r="E1609" s="522">
        <v>1.4079999999999999</v>
      </c>
      <c r="F1609" s="523" t="s">
        <v>4166</v>
      </c>
      <c r="G1609" s="524" t="s">
        <v>3663</v>
      </c>
      <c r="H1609" s="525" t="s">
        <v>3666</v>
      </c>
      <c r="I1609" s="474"/>
      <c r="J1609" s="475" t="s">
        <v>5793</v>
      </c>
    </row>
    <row r="1610" spans="1:10" ht="14.25" customHeight="1">
      <c r="A1610" s="520" t="s">
        <v>5794</v>
      </c>
      <c r="B1610" s="521" t="s">
        <v>4080</v>
      </c>
      <c r="C1610" s="520" t="s">
        <v>213</v>
      </c>
      <c r="D1610" s="472">
        <v>0.436</v>
      </c>
      <c r="E1610" s="522">
        <v>0.38200000000000001</v>
      </c>
      <c r="F1610" s="523" t="s">
        <v>4166</v>
      </c>
      <c r="G1610" s="524"/>
      <c r="H1610" s="525" t="s">
        <v>3666</v>
      </c>
      <c r="I1610" s="474"/>
      <c r="J1610" s="475" t="s">
        <v>5795</v>
      </c>
    </row>
    <row r="1611" spans="1:10" ht="14.25" customHeight="1">
      <c r="A1611" s="575" t="s">
        <v>2567</v>
      </c>
      <c r="B1611" s="576" t="s">
        <v>2568</v>
      </c>
      <c r="C1611" s="575" t="s">
        <v>5725</v>
      </c>
      <c r="D1611" s="472">
        <v>9.74</v>
      </c>
      <c r="E1611" s="522">
        <v>9.0050000000000008</v>
      </c>
      <c r="F1611" s="523" t="s">
        <v>4166</v>
      </c>
      <c r="G1611" s="524" t="s">
        <v>3663</v>
      </c>
      <c r="H1611" s="525" t="s">
        <v>3666</v>
      </c>
      <c r="I1611" s="474"/>
      <c r="J1611" s="475" t="s">
        <v>5796</v>
      </c>
    </row>
    <row r="1612" spans="1:10" ht="14.25" customHeight="1">
      <c r="A1612" s="520" t="s">
        <v>2569</v>
      </c>
      <c r="B1612" s="521" t="s">
        <v>2570</v>
      </c>
      <c r="C1612" s="520" t="s">
        <v>213</v>
      </c>
      <c r="D1612" s="472">
        <v>1.621</v>
      </c>
      <c r="E1612" s="522">
        <v>1.4990000000000001</v>
      </c>
      <c r="F1612" s="523" t="s">
        <v>4166</v>
      </c>
      <c r="G1612" s="524" t="s">
        <v>3663</v>
      </c>
      <c r="H1612" s="525" t="s">
        <v>3666</v>
      </c>
      <c r="I1612" s="474"/>
      <c r="J1612" s="475" t="s">
        <v>5797</v>
      </c>
    </row>
    <row r="1613" spans="1:10" ht="14.25" customHeight="1">
      <c r="A1613" s="575" t="s">
        <v>2571</v>
      </c>
      <c r="B1613" s="576" t="s">
        <v>2572</v>
      </c>
      <c r="C1613" s="575" t="s">
        <v>5725</v>
      </c>
      <c r="D1613" s="472">
        <v>9.74</v>
      </c>
      <c r="E1613" s="522">
        <v>9.0050000000000008</v>
      </c>
      <c r="F1613" s="523" t="s">
        <v>4166</v>
      </c>
      <c r="G1613" s="524" t="s">
        <v>3663</v>
      </c>
      <c r="H1613" s="525" t="s">
        <v>3666</v>
      </c>
      <c r="I1613" s="474"/>
      <c r="J1613" s="475" t="s">
        <v>5798</v>
      </c>
    </row>
    <row r="1614" spans="1:10" ht="14.25" customHeight="1">
      <c r="A1614" s="575" t="s">
        <v>2573</v>
      </c>
      <c r="B1614" s="576" t="s">
        <v>2574</v>
      </c>
      <c r="C1614" s="575" t="s">
        <v>5725</v>
      </c>
      <c r="D1614" s="472">
        <v>7.74</v>
      </c>
      <c r="E1614" s="522">
        <v>7.1550000000000002</v>
      </c>
      <c r="F1614" s="523" t="s">
        <v>4166</v>
      </c>
      <c r="G1614" s="524" t="s">
        <v>3663</v>
      </c>
      <c r="H1614" s="525" t="s">
        <v>3666</v>
      </c>
      <c r="I1614" s="474"/>
      <c r="J1614" s="475" t="s">
        <v>5799</v>
      </c>
    </row>
    <row r="1615" spans="1:10" ht="14.25" customHeight="1">
      <c r="A1615" s="520" t="s">
        <v>2575</v>
      </c>
      <c r="B1615" s="521" t="s">
        <v>2576</v>
      </c>
      <c r="C1615" s="520" t="s">
        <v>213</v>
      </c>
      <c r="D1615" s="472">
        <v>1.5569999999999999</v>
      </c>
      <c r="E1615" s="522">
        <v>1.4390000000000001</v>
      </c>
      <c r="F1615" s="523" t="s">
        <v>4166</v>
      </c>
      <c r="G1615" s="524" t="s">
        <v>3663</v>
      </c>
      <c r="H1615" s="525" t="s">
        <v>3666</v>
      </c>
      <c r="I1615" s="474"/>
      <c r="J1615" s="475" t="s">
        <v>5800</v>
      </c>
    </row>
    <row r="1616" spans="1:10" ht="14.25" customHeight="1">
      <c r="A1616" s="575" t="s">
        <v>2577</v>
      </c>
      <c r="B1616" s="576" t="s">
        <v>2578</v>
      </c>
      <c r="C1616" s="575" t="s">
        <v>5725</v>
      </c>
      <c r="D1616" s="472">
        <v>9.74</v>
      </c>
      <c r="E1616" s="522">
        <v>9.0050000000000008</v>
      </c>
      <c r="F1616" s="523" t="s">
        <v>4166</v>
      </c>
      <c r="G1616" s="524" t="s">
        <v>3663</v>
      </c>
      <c r="H1616" s="525" t="s">
        <v>3666</v>
      </c>
      <c r="I1616" s="474"/>
      <c r="J1616" s="475" t="s">
        <v>5801</v>
      </c>
    </row>
    <row r="1617" spans="1:10" ht="14.25" customHeight="1">
      <c r="A1617" s="520" t="s">
        <v>2579</v>
      </c>
      <c r="B1617" s="521" t="s">
        <v>2580</v>
      </c>
      <c r="C1617" s="520" t="s">
        <v>213</v>
      </c>
      <c r="D1617" s="472">
        <v>1.675</v>
      </c>
      <c r="E1617" s="522">
        <v>1.548</v>
      </c>
      <c r="F1617" s="523" t="s">
        <v>4166</v>
      </c>
      <c r="G1617" s="524" t="s">
        <v>3663</v>
      </c>
      <c r="H1617" s="525" t="s">
        <v>3666</v>
      </c>
      <c r="I1617" s="474"/>
      <c r="J1617" s="475" t="s">
        <v>5802</v>
      </c>
    </row>
    <row r="1618" spans="1:10" ht="14.25" customHeight="1">
      <c r="A1618" s="575" t="s">
        <v>2581</v>
      </c>
      <c r="B1618" s="576" t="s">
        <v>2582</v>
      </c>
      <c r="C1618" s="575" t="s">
        <v>5725</v>
      </c>
      <c r="D1618" s="472">
        <v>7.74</v>
      </c>
      <c r="E1618" s="522">
        <v>7.1550000000000002</v>
      </c>
      <c r="F1618" s="523" t="s">
        <v>4166</v>
      </c>
      <c r="G1618" s="524" t="s">
        <v>3663</v>
      </c>
      <c r="H1618" s="525" t="s">
        <v>3666</v>
      </c>
      <c r="I1618" s="474"/>
      <c r="J1618" s="475" t="s">
        <v>5803</v>
      </c>
    </row>
    <row r="1619" spans="1:10" ht="14.25" customHeight="1">
      <c r="A1619" s="520" t="s">
        <v>2583</v>
      </c>
      <c r="B1619" s="521" t="s">
        <v>2584</v>
      </c>
      <c r="C1619" s="520" t="s">
        <v>213</v>
      </c>
      <c r="D1619" s="472">
        <v>1.5569999999999999</v>
      </c>
      <c r="E1619" s="522">
        <v>1.4390000000000001</v>
      </c>
      <c r="F1619" s="523" t="s">
        <v>4166</v>
      </c>
      <c r="G1619" s="524" t="s">
        <v>3663</v>
      </c>
      <c r="H1619" s="525" t="s">
        <v>3666</v>
      </c>
      <c r="I1619" s="474"/>
      <c r="J1619" s="475" t="s">
        <v>5804</v>
      </c>
    </row>
    <row r="1620" spans="1:10" ht="14.25" customHeight="1">
      <c r="A1620" s="575" t="s">
        <v>2585</v>
      </c>
      <c r="B1620" s="576" t="s">
        <v>2586</v>
      </c>
      <c r="C1620" s="575" t="s">
        <v>5725</v>
      </c>
      <c r="D1620" s="472">
        <v>9.74</v>
      </c>
      <c r="E1620" s="522">
        <v>9.0050000000000008</v>
      </c>
      <c r="F1620" s="523" t="s">
        <v>4166</v>
      </c>
      <c r="G1620" s="524" t="s">
        <v>3663</v>
      </c>
      <c r="H1620" s="525" t="s">
        <v>3666</v>
      </c>
      <c r="I1620" s="474"/>
      <c r="J1620" s="475" t="s">
        <v>5805</v>
      </c>
    </row>
    <row r="1621" spans="1:10" ht="14.25" customHeight="1">
      <c r="A1621" s="520" t="s">
        <v>2587</v>
      </c>
      <c r="B1621" s="521" t="s">
        <v>2588</v>
      </c>
      <c r="C1621" s="520" t="s">
        <v>213</v>
      </c>
      <c r="D1621" s="472">
        <v>1.675</v>
      </c>
      <c r="E1621" s="522">
        <v>1.548</v>
      </c>
      <c r="F1621" s="523" t="s">
        <v>4166</v>
      </c>
      <c r="G1621" s="524" t="s">
        <v>3663</v>
      </c>
      <c r="H1621" s="525" t="s">
        <v>3666</v>
      </c>
      <c r="I1621" s="474"/>
      <c r="J1621" s="475" t="s">
        <v>5806</v>
      </c>
    </row>
    <row r="1622" spans="1:10" ht="14.25" customHeight="1">
      <c r="A1622" s="575" t="s">
        <v>4086</v>
      </c>
      <c r="B1622" s="576" t="s">
        <v>4087</v>
      </c>
      <c r="C1622" s="575" t="s">
        <v>5725</v>
      </c>
      <c r="D1622" s="472">
        <v>9.74</v>
      </c>
      <c r="E1622" s="522">
        <v>9.0050000000000008</v>
      </c>
      <c r="F1622" s="523" t="s">
        <v>4166</v>
      </c>
      <c r="G1622" s="524" t="s">
        <v>3663</v>
      </c>
      <c r="H1622" s="525" t="s">
        <v>3666</v>
      </c>
      <c r="I1622" s="474"/>
      <c r="J1622" s="475" t="s">
        <v>5807</v>
      </c>
    </row>
    <row r="1623" spans="1:10" ht="14.25" customHeight="1">
      <c r="A1623" s="520" t="s">
        <v>4088</v>
      </c>
      <c r="B1623" s="521" t="s">
        <v>4089</v>
      </c>
      <c r="C1623" s="520" t="s">
        <v>213</v>
      </c>
      <c r="D1623" s="472">
        <v>1.675</v>
      </c>
      <c r="E1623" s="522">
        <v>1.548</v>
      </c>
      <c r="F1623" s="523" t="s">
        <v>4166</v>
      </c>
      <c r="G1623" s="524" t="s">
        <v>3663</v>
      </c>
      <c r="H1623" s="525" t="s">
        <v>3666</v>
      </c>
      <c r="I1623" s="474"/>
      <c r="J1623" s="475" t="s">
        <v>5808</v>
      </c>
    </row>
    <row r="1624" spans="1:10" ht="14.25" customHeight="1">
      <c r="A1624" s="575" t="s">
        <v>2589</v>
      </c>
      <c r="B1624" s="576" t="s">
        <v>2590</v>
      </c>
      <c r="C1624" s="575" t="s">
        <v>5725</v>
      </c>
      <c r="D1624" s="472">
        <v>18.13</v>
      </c>
      <c r="E1624" s="522">
        <v>16.760000000000002</v>
      </c>
      <c r="F1624" s="523" t="s">
        <v>4166</v>
      </c>
      <c r="G1624" s="524" t="s">
        <v>3663</v>
      </c>
      <c r="H1624" s="525" t="s">
        <v>3666</v>
      </c>
      <c r="I1624" s="474"/>
      <c r="J1624" s="475" t="s">
        <v>5809</v>
      </c>
    </row>
    <row r="1625" spans="1:10" ht="14.25" customHeight="1">
      <c r="A1625" s="520" t="s">
        <v>2591</v>
      </c>
      <c r="B1625" s="521" t="s">
        <v>2592</v>
      </c>
      <c r="C1625" s="520" t="s">
        <v>213</v>
      </c>
      <c r="D1625" s="472">
        <v>3.0979999999999999</v>
      </c>
      <c r="E1625" s="522">
        <v>2.8639999999999999</v>
      </c>
      <c r="F1625" s="523" t="s">
        <v>4166</v>
      </c>
      <c r="G1625" s="524" t="s">
        <v>3663</v>
      </c>
      <c r="H1625" s="525" t="s">
        <v>3666</v>
      </c>
      <c r="I1625" s="474"/>
      <c r="J1625" s="475" t="s">
        <v>5810</v>
      </c>
    </row>
    <row r="1626" spans="1:10" ht="14.25" customHeight="1">
      <c r="A1626" s="575" t="s">
        <v>2593</v>
      </c>
      <c r="B1626" s="576" t="s">
        <v>2594</v>
      </c>
      <c r="C1626" s="575" t="s">
        <v>5725</v>
      </c>
      <c r="D1626" s="472">
        <v>20.13</v>
      </c>
      <c r="E1626" s="522">
        <v>18.61</v>
      </c>
      <c r="F1626" s="523" t="s">
        <v>4166</v>
      </c>
      <c r="G1626" s="524" t="s">
        <v>3663</v>
      </c>
      <c r="H1626" s="525" t="s">
        <v>3666</v>
      </c>
      <c r="I1626" s="474"/>
      <c r="J1626" s="475" t="s">
        <v>5811</v>
      </c>
    </row>
    <row r="1627" spans="1:10" ht="14.25" customHeight="1">
      <c r="A1627" s="520" t="s">
        <v>2595</v>
      </c>
      <c r="B1627" s="521" t="s">
        <v>2596</v>
      </c>
      <c r="C1627" s="520" t="s">
        <v>213</v>
      </c>
      <c r="D1627" s="472">
        <v>3.2970000000000002</v>
      </c>
      <c r="E1627" s="522">
        <v>3.0489999999999999</v>
      </c>
      <c r="F1627" s="523" t="s">
        <v>4166</v>
      </c>
      <c r="G1627" s="524" t="s">
        <v>3663</v>
      </c>
      <c r="H1627" s="525" t="s">
        <v>3666</v>
      </c>
      <c r="I1627" s="474"/>
      <c r="J1627" s="475" t="s">
        <v>5812</v>
      </c>
    </row>
    <row r="1628" spans="1:10" ht="14.25" customHeight="1">
      <c r="A1628" s="575" t="s">
        <v>2597</v>
      </c>
      <c r="B1628" s="576" t="s">
        <v>2598</v>
      </c>
      <c r="C1628" s="575" t="s">
        <v>5725</v>
      </c>
      <c r="D1628" s="472">
        <v>20.077999999999999</v>
      </c>
      <c r="E1628" s="522">
        <v>18.562000000000001</v>
      </c>
      <c r="F1628" s="523" t="s">
        <v>4166</v>
      </c>
      <c r="G1628" s="524" t="s">
        <v>3663</v>
      </c>
      <c r="H1628" s="525" t="s">
        <v>3666</v>
      </c>
      <c r="I1628" s="474"/>
      <c r="J1628" s="475" t="s">
        <v>5813</v>
      </c>
    </row>
    <row r="1629" spans="1:10" ht="14.25" customHeight="1">
      <c r="A1629" s="575" t="s">
        <v>2599</v>
      </c>
      <c r="B1629" s="576" t="s">
        <v>2600</v>
      </c>
      <c r="C1629" s="575" t="s">
        <v>5725</v>
      </c>
      <c r="D1629" s="472">
        <v>22.077999999999999</v>
      </c>
      <c r="E1629" s="522">
        <v>20.411000000000001</v>
      </c>
      <c r="F1629" s="523" t="s">
        <v>4166</v>
      </c>
      <c r="G1629" s="524" t="s">
        <v>3663</v>
      </c>
      <c r="H1629" s="525" t="s">
        <v>3666</v>
      </c>
      <c r="I1629" s="474"/>
      <c r="J1629" s="475" t="s">
        <v>5814</v>
      </c>
    </row>
    <row r="1630" spans="1:10" ht="14.25" customHeight="1">
      <c r="A1630" s="575" t="s">
        <v>2601</v>
      </c>
      <c r="B1630" s="576" t="s">
        <v>2602</v>
      </c>
      <c r="C1630" s="575" t="s">
        <v>5725</v>
      </c>
      <c r="D1630" s="472">
        <v>23.753</v>
      </c>
      <c r="E1630" s="522">
        <v>22.1</v>
      </c>
      <c r="F1630" s="523" t="s">
        <v>4166</v>
      </c>
      <c r="G1630" s="524" t="s">
        <v>3663</v>
      </c>
      <c r="H1630" s="525" t="s">
        <v>3666</v>
      </c>
      <c r="I1630" s="474"/>
      <c r="J1630" s="475" t="s">
        <v>5815</v>
      </c>
    </row>
    <row r="1631" spans="1:10" ht="14.25" customHeight="1">
      <c r="A1631" s="575" t="s">
        <v>2603</v>
      </c>
      <c r="B1631" s="576" t="s">
        <v>2604</v>
      </c>
      <c r="C1631" s="575" t="s">
        <v>5725</v>
      </c>
      <c r="D1631" s="472">
        <v>25.753</v>
      </c>
      <c r="E1631" s="522">
        <v>23.949000000000002</v>
      </c>
      <c r="F1631" s="523" t="s">
        <v>4166</v>
      </c>
      <c r="G1631" s="524" t="s">
        <v>3663</v>
      </c>
      <c r="H1631" s="525" t="s">
        <v>3666</v>
      </c>
      <c r="I1631" s="474"/>
      <c r="J1631" s="475" t="s">
        <v>5816</v>
      </c>
    </row>
    <row r="1632" spans="1:10" ht="14.25" customHeight="1">
      <c r="A1632" s="575" t="s">
        <v>2605</v>
      </c>
      <c r="B1632" s="576" t="s">
        <v>2606</v>
      </c>
      <c r="C1632" s="575" t="s">
        <v>5725</v>
      </c>
      <c r="D1632" s="472">
        <v>12.129</v>
      </c>
      <c r="E1632" s="522">
        <v>11.212999999999999</v>
      </c>
      <c r="F1632" s="523" t="s">
        <v>4166</v>
      </c>
      <c r="G1632" s="524" t="s">
        <v>3663</v>
      </c>
      <c r="H1632" s="525" t="s">
        <v>3666</v>
      </c>
      <c r="I1632" s="474"/>
      <c r="J1632" s="475" t="s">
        <v>5817</v>
      </c>
    </row>
    <row r="1633" spans="1:10" ht="14.25" customHeight="1">
      <c r="A1633" s="575" t="s">
        <v>2607</v>
      </c>
      <c r="B1633" s="576" t="s">
        <v>2608</v>
      </c>
      <c r="C1633" s="575" t="s">
        <v>5725</v>
      </c>
      <c r="D1633" s="472">
        <v>14.129</v>
      </c>
      <c r="E1633" s="522">
        <v>13.063000000000001</v>
      </c>
      <c r="F1633" s="523" t="s">
        <v>4166</v>
      </c>
      <c r="G1633" s="524" t="s">
        <v>3663</v>
      </c>
      <c r="H1633" s="525" t="s">
        <v>3666</v>
      </c>
      <c r="I1633" s="474"/>
      <c r="J1633" s="475" t="s">
        <v>5818</v>
      </c>
    </row>
    <row r="1634" spans="1:10" ht="14.25" customHeight="1">
      <c r="A1634" s="520" t="s">
        <v>2609</v>
      </c>
      <c r="B1634" s="521" t="s">
        <v>2610</v>
      </c>
      <c r="C1634" s="520" t="s">
        <v>213</v>
      </c>
      <c r="D1634" s="472">
        <v>12.507</v>
      </c>
      <c r="E1634" s="522">
        <v>12.536</v>
      </c>
      <c r="F1634" s="523" t="s">
        <v>4166</v>
      </c>
      <c r="G1634" s="524" t="s">
        <v>3663</v>
      </c>
      <c r="H1634" s="525" t="s">
        <v>3666</v>
      </c>
      <c r="I1634" s="474"/>
      <c r="J1634" s="475" t="s">
        <v>5819</v>
      </c>
    </row>
    <row r="1635" spans="1:10" ht="14.25" customHeight="1">
      <c r="A1635" s="520" t="s">
        <v>2611</v>
      </c>
      <c r="B1635" s="521" t="s">
        <v>2612</v>
      </c>
      <c r="C1635" s="520" t="s">
        <v>213</v>
      </c>
      <c r="D1635" s="472">
        <v>5.47</v>
      </c>
      <c r="E1635" s="522">
        <v>5.282</v>
      </c>
      <c r="F1635" s="523" t="s">
        <v>4166</v>
      </c>
      <c r="G1635" s="524" t="s">
        <v>3663</v>
      </c>
      <c r="H1635" s="525" t="s">
        <v>3666</v>
      </c>
      <c r="I1635" s="474"/>
      <c r="J1635" s="475" t="s">
        <v>5820</v>
      </c>
    </row>
    <row r="1636" spans="1:10" ht="14.25" customHeight="1">
      <c r="A1636" s="520" t="s">
        <v>2613</v>
      </c>
      <c r="B1636" s="521" t="s">
        <v>2614</v>
      </c>
      <c r="C1636" s="520" t="s">
        <v>213</v>
      </c>
      <c r="D1636" s="472">
        <v>2.96</v>
      </c>
      <c r="E1636" s="522">
        <v>2.7589999999999999</v>
      </c>
      <c r="F1636" s="523" t="s">
        <v>4166</v>
      </c>
      <c r="G1636" s="524" t="s">
        <v>3663</v>
      </c>
      <c r="H1636" s="525" t="s">
        <v>3666</v>
      </c>
      <c r="I1636" s="474"/>
      <c r="J1636" s="475" t="s">
        <v>5821</v>
      </c>
    </row>
    <row r="1637" spans="1:10" ht="14.25" customHeight="1">
      <c r="A1637" s="520" t="s">
        <v>2615</v>
      </c>
      <c r="B1637" s="521" t="s">
        <v>2616</v>
      </c>
      <c r="C1637" s="520" t="s">
        <v>213</v>
      </c>
      <c r="D1637" s="472">
        <v>3.0590000000000002</v>
      </c>
      <c r="E1637" s="522">
        <v>2.8530000000000002</v>
      </c>
      <c r="F1637" s="523" t="s">
        <v>4166</v>
      </c>
      <c r="G1637" s="524" t="s">
        <v>3663</v>
      </c>
      <c r="H1637" s="525" t="s">
        <v>3666</v>
      </c>
      <c r="I1637" s="474"/>
      <c r="J1637" s="475" t="s">
        <v>5822</v>
      </c>
    </row>
    <row r="1638" spans="1:10" ht="14.25" customHeight="1">
      <c r="A1638" s="520" t="s">
        <v>2617</v>
      </c>
      <c r="B1638" s="521" t="s">
        <v>2618</v>
      </c>
      <c r="C1638" s="520" t="s">
        <v>213</v>
      </c>
      <c r="D1638" s="472">
        <v>2.8370000000000002</v>
      </c>
      <c r="E1638" s="522">
        <v>2.645</v>
      </c>
      <c r="F1638" s="523" t="s">
        <v>4166</v>
      </c>
      <c r="G1638" s="524" t="s">
        <v>3663</v>
      </c>
      <c r="H1638" s="525" t="s">
        <v>3666</v>
      </c>
      <c r="I1638" s="474"/>
      <c r="J1638" s="475" t="s">
        <v>5823</v>
      </c>
    </row>
    <row r="1639" spans="1:10" ht="14.25" customHeight="1">
      <c r="A1639" s="520" t="s">
        <v>2619</v>
      </c>
      <c r="B1639" s="521" t="s">
        <v>2620</v>
      </c>
      <c r="C1639" s="520" t="s">
        <v>213</v>
      </c>
      <c r="D1639" s="472">
        <v>2.8370000000000002</v>
      </c>
      <c r="E1639" s="522">
        <v>2.645</v>
      </c>
      <c r="F1639" s="523" t="s">
        <v>4166</v>
      </c>
      <c r="G1639" s="524" t="s">
        <v>3663</v>
      </c>
      <c r="H1639" s="525" t="s">
        <v>3666</v>
      </c>
      <c r="I1639" s="474"/>
      <c r="J1639" s="475" t="s">
        <v>5824</v>
      </c>
    </row>
    <row r="1640" spans="1:10" ht="14.25" customHeight="1">
      <c r="A1640" s="520" t="s">
        <v>2621</v>
      </c>
      <c r="B1640" s="521" t="s">
        <v>2622</v>
      </c>
      <c r="C1640" s="520" t="s">
        <v>213</v>
      </c>
      <c r="D1640" s="472">
        <v>6.7210000000000001</v>
      </c>
      <c r="E1640" s="522">
        <v>6.2640000000000002</v>
      </c>
      <c r="F1640" s="523" t="s">
        <v>4166</v>
      </c>
      <c r="G1640" s="524" t="s">
        <v>3663</v>
      </c>
      <c r="H1640" s="525" t="s">
        <v>3666</v>
      </c>
      <c r="I1640" s="474"/>
      <c r="J1640" s="475" t="s">
        <v>5825</v>
      </c>
    </row>
    <row r="1641" spans="1:10" ht="14.25" customHeight="1">
      <c r="A1641" s="543" t="s">
        <v>3430</v>
      </c>
      <c r="B1641" s="544" t="s">
        <v>3431</v>
      </c>
      <c r="C1641" s="543" t="s">
        <v>213</v>
      </c>
      <c r="D1641" s="472">
        <v>4.5449999999999999</v>
      </c>
      <c r="E1641" s="522">
        <v>8.4030000000000005</v>
      </c>
      <c r="F1641" s="523" t="s">
        <v>4166</v>
      </c>
      <c r="G1641" s="524" t="s">
        <v>3663</v>
      </c>
      <c r="H1641" s="525" t="s">
        <v>3666</v>
      </c>
      <c r="I1641" s="474"/>
      <c r="J1641" s="475" t="s">
        <v>5826</v>
      </c>
    </row>
    <row r="1642" spans="1:10" ht="13.5" customHeight="1">
      <c r="A1642" s="543" t="s">
        <v>2623</v>
      </c>
      <c r="B1642" s="544" t="s">
        <v>2624</v>
      </c>
      <c r="C1642" s="543" t="s">
        <v>213</v>
      </c>
      <c r="D1642" s="472">
        <v>32.402000000000001</v>
      </c>
      <c r="E1642" s="522">
        <v>33.154000000000003</v>
      </c>
      <c r="F1642" s="523" t="s">
        <v>4166</v>
      </c>
      <c r="G1642" s="524" t="s">
        <v>3663</v>
      </c>
      <c r="H1642" s="525" t="s">
        <v>3666</v>
      </c>
      <c r="I1642" s="474"/>
      <c r="J1642" s="475" t="s">
        <v>5827</v>
      </c>
    </row>
    <row r="1643" spans="1:10" ht="14.25" customHeight="1">
      <c r="A1643" s="543" t="s">
        <v>2625</v>
      </c>
      <c r="B1643" s="544" t="s">
        <v>2626</v>
      </c>
      <c r="C1643" s="543" t="s">
        <v>213</v>
      </c>
      <c r="D1643" s="472">
        <v>32.402000000000001</v>
      </c>
      <c r="E1643" s="522">
        <v>33.154000000000003</v>
      </c>
      <c r="F1643" s="523" t="s">
        <v>4166</v>
      </c>
      <c r="G1643" s="524" t="s">
        <v>3663</v>
      </c>
      <c r="H1643" s="525" t="s">
        <v>3666</v>
      </c>
      <c r="I1643" s="474"/>
      <c r="J1643" s="475" t="s">
        <v>5828</v>
      </c>
    </row>
    <row r="1644" spans="1:10" ht="14.25" customHeight="1">
      <c r="A1644" s="543" t="s">
        <v>2627</v>
      </c>
      <c r="B1644" s="544" t="s">
        <v>2628</v>
      </c>
      <c r="C1644" s="543" t="s">
        <v>213</v>
      </c>
      <c r="D1644" s="472">
        <v>3.7650000000000001</v>
      </c>
      <c r="E1644" s="522">
        <v>3.8530000000000002</v>
      </c>
      <c r="F1644" s="523" t="s">
        <v>4166</v>
      </c>
      <c r="G1644" s="524" t="s">
        <v>3663</v>
      </c>
      <c r="H1644" s="525" t="s">
        <v>3666</v>
      </c>
      <c r="I1644" s="474"/>
      <c r="J1644" s="475" t="s">
        <v>5829</v>
      </c>
    </row>
    <row r="1645" spans="1:10" ht="14.25" customHeight="1">
      <c r="A1645" s="543" t="s">
        <v>2629</v>
      </c>
      <c r="B1645" s="544" t="s">
        <v>2630</v>
      </c>
      <c r="C1645" s="543" t="s">
        <v>213</v>
      </c>
      <c r="D1645" s="472">
        <v>6.3639999999999999</v>
      </c>
      <c r="E1645" s="522">
        <v>6.5119999999999996</v>
      </c>
      <c r="F1645" s="523" t="s">
        <v>4166</v>
      </c>
      <c r="G1645" s="526" t="s">
        <v>3668</v>
      </c>
      <c r="H1645" s="525" t="s">
        <v>3678</v>
      </c>
      <c r="I1645" s="474"/>
      <c r="J1645" s="475" t="s">
        <v>5830</v>
      </c>
    </row>
    <row r="1646" spans="1:10" ht="14.25" customHeight="1">
      <c r="A1646" s="520" t="s">
        <v>2631</v>
      </c>
      <c r="B1646" s="521" t="s">
        <v>2632</v>
      </c>
      <c r="C1646" s="520" t="s">
        <v>213</v>
      </c>
      <c r="D1646" s="472">
        <v>18.13</v>
      </c>
      <c r="E1646" s="522">
        <v>16.760000000000002</v>
      </c>
      <c r="F1646" s="523" t="s">
        <v>4166</v>
      </c>
      <c r="G1646" s="524" t="s">
        <v>3663</v>
      </c>
      <c r="H1646" s="525" t="s">
        <v>3666</v>
      </c>
      <c r="I1646" s="474"/>
      <c r="J1646" s="475" t="s">
        <v>5831</v>
      </c>
    </row>
    <row r="1647" spans="1:10" ht="14.25" customHeight="1">
      <c r="A1647" s="520" t="s">
        <v>2633</v>
      </c>
      <c r="B1647" s="521" t="s">
        <v>2634</v>
      </c>
      <c r="C1647" s="520" t="s">
        <v>213</v>
      </c>
      <c r="D1647" s="472">
        <v>0.69299999999999995</v>
      </c>
      <c r="E1647" s="522">
        <v>0.64</v>
      </c>
      <c r="F1647" s="523" t="s">
        <v>4166</v>
      </c>
      <c r="G1647" s="524" t="s">
        <v>3663</v>
      </c>
      <c r="H1647" s="525" t="s">
        <v>3666</v>
      </c>
      <c r="I1647" s="474"/>
      <c r="J1647" s="475" t="s">
        <v>5832</v>
      </c>
    </row>
    <row r="1648" spans="1:10" ht="14.25" customHeight="1">
      <c r="A1648" s="520" t="s">
        <v>2635</v>
      </c>
      <c r="B1648" s="521" t="s">
        <v>2636</v>
      </c>
      <c r="C1648" s="520" t="s">
        <v>213</v>
      </c>
      <c r="D1648" s="472">
        <v>20.13</v>
      </c>
      <c r="E1648" s="522">
        <v>18.61</v>
      </c>
      <c r="F1648" s="523" t="s">
        <v>4166</v>
      </c>
      <c r="G1648" s="524" t="s">
        <v>3663</v>
      </c>
      <c r="H1648" s="525" t="s">
        <v>3666</v>
      </c>
      <c r="I1648" s="474"/>
      <c r="J1648" s="475" t="s">
        <v>5833</v>
      </c>
    </row>
    <row r="1649" spans="1:10" ht="14.25" customHeight="1">
      <c r="A1649" s="520" t="s">
        <v>2637</v>
      </c>
      <c r="B1649" s="521" t="s">
        <v>2638</v>
      </c>
      <c r="C1649" s="520" t="s">
        <v>213</v>
      </c>
      <c r="D1649" s="472">
        <v>20.077999999999999</v>
      </c>
      <c r="E1649" s="522">
        <v>18.562000000000001</v>
      </c>
      <c r="F1649" s="523" t="s">
        <v>4166</v>
      </c>
      <c r="G1649" s="524" t="s">
        <v>3663</v>
      </c>
      <c r="H1649" s="525" t="s">
        <v>3666</v>
      </c>
      <c r="I1649" s="474"/>
      <c r="J1649" s="475" t="s">
        <v>5834</v>
      </c>
    </row>
    <row r="1650" spans="1:10" ht="14.25" customHeight="1">
      <c r="A1650" s="520" t="s">
        <v>2639</v>
      </c>
      <c r="B1650" s="521" t="s">
        <v>2640</v>
      </c>
      <c r="C1650" s="520" t="s">
        <v>213</v>
      </c>
      <c r="D1650" s="472">
        <v>22.077999999999999</v>
      </c>
      <c r="E1650" s="522">
        <v>20.411000000000001</v>
      </c>
      <c r="F1650" s="523" t="s">
        <v>4166</v>
      </c>
      <c r="G1650" s="524" t="s">
        <v>3663</v>
      </c>
      <c r="H1650" s="525" t="s">
        <v>3666</v>
      </c>
      <c r="I1650" s="474"/>
      <c r="J1650" s="475" t="s">
        <v>5835</v>
      </c>
    </row>
    <row r="1651" spans="1:10" ht="14.25" customHeight="1">
      <c r="A1651" s="520" t="s">
        <v>2641</v>
      </c>
      <c r="B1651" s="521" t="s">
        <v>2642</v>
      </c>
      <c r="C1651" s="520" t="s">
        <v>213</v>
      </c>
      <c r="D1651" s="472">
        <v>23.753</v>
      </c>
      <c r="E1651" s="522">
        <v>22.1</v>
      </c>
      <c r="F1651" s="523" t="s">
        <v>4166</v>
      </c>
      <c r="G1651" s="524" t="s">
        <v>3663</v>
      </c>
      <c r="H1651" s="525" t="s">
        <v>3666</v>
      </c>
      <c r="I1651" s="474"/>
      <c r="J1651" s="475" t="s">
        <v>5836</v>
      </c>
    </row>
    <row r="1652" spans="1:10" ht="14.25" customHeight="1">
      <c r="A1652" s="520" t="s">
        <v>2643</v>
      </c>
      <c r="B1652" s="521" t="s">
        <v>2644</v>
      </c>
      <c r="C1652" s="520" t="s">
        <v>213</v>
      </c>
      <c r="D1652" s="472">
        <v>25.753</v>
      </c>
      <c r="E1652" s="522">
        <v>23.949000000000002</v>
      </c>
      <c r="F1652" s="523" t="s">
        <v>4166</v>
      </c>
      <c r="G1652" s="524" t="s">
        <v>3663</v>
      </c>
      <c r="H1652" s="525" t="s">
        <v>3666</v>
      </c>
      <c r="I1652" s="474"/>
      <c r="J1652" s="475" t="s">
        <v>5837</v>
      </c>
    </row>
    <row r="1653" spans="1:10" ht="14.25" customHeight="1">
      <c r="A1653" s="520" t="s">
        <v>2645</v>
      </c>
      <c r="B1653" s="521" t="s">
        <v>2646</v>
      </c>
      <c r="C1653" s="520" t="s">
        <v>213</v>
      </c>
      <c r="D1653" s="472">
        <v>12.129</v>
      </c>
      <c r="E1653" s="522">
        <v>11.212999999999999</v>
      </c>
      <c r="F1653" s="523" t="s">
        <v>4166</v>
      </c>
      <c r="G1653" s="524" t="s">
        <v>3663</v>
      </c>
      <c r="H1653" s="525" t="s">
        <v>3666</v>
      </c>
      <c r="I1653" s="474"/>
      <c r="J1653" s="475" t="s">
        <v>5838</v>
      </c>
    </row>
    <row r="1654" spans="1:10" ht="14.25" customHeight="1">
      <c r="A1654" s="520" t="s">
        <v>2647</v>
      </c>
      <c r="B1654" s="521" t="s">
        <v>2648</v>
      </c>
      <c r="C1654" s="520" t="s">
        <v>213</v>
      </c>
      <c r="D1654" s="472">
        <v>14.129</v>
      </c>
      <c r="E1654" s="522">
        <v>13.063000000000001</v>
      </c>
      <c r="F1654" s="523" t="s">
        <v>4166</v>
      </c>
      <c r="G1654" s="524" t="s">
        <v>3663</v>
      </c>
      <c r="H1654" s="525" t="s">
        <v>3666</v>
      </c>
      <c r="I1654" s="474"/>
      <c r="J1654" s="475" t="s">
        <v>5839</v>
      </c>
    </row>
    <row r="1655" spans="1:10" ht="14.25" customHeight="1">
      <c r="A1655" s="520" t="s">
        <v>2649</v>
      </c>
      <c r="B1655" s="521" t="s">
        <v>2650</v>
      </c>
      <c r="C1655" s="520" t="s">
        <v>213</v>
      </c>
      <c r="D1655" s="472">
        <v>18.13</v>
      </c>
      <c r="E1655" s="522">
        <v>16.760000000000002</v>
      </c>
      <c r="F1655" s="523" t="s">
        <v>4166</v>
      </c>
      <c r="G1655" s="524" t="s">
        <v>3663</v>
      </c>
      <c r="H1655" s="525" t="s">
        <v>3666</v>
      </c>
      <c r="I1655" s="474"/>
      <c r="J1655" s="475" t="s">
        <v>5840</v>
      </c>
    </row>
    <row r="1656" spans="1:10" ht="14.25" customHeight="1">
      <c r="A1656" s="520" t="s">
        <v>2651</v>
      </c>
      <c r="B1656" s="521" t="s">
        <v>2652</v>
      </c>
      <c r="C1656" s="520" t="s">
        <v>213</v>
      </c>
      <c r="D1656" s="472">
        <v>0.748</v>
      </c>
      <c r="E1656" s="522">
        <v>0.69199999999999995</v>
      </c>
      <c r="F1656" s="523" t="s">
        <v>4166</v>
      </c>
      <c r="G1656" s="524" t="s">
        <v>3663</v>
      </c>
      <c r="H1656" s="525" t="s">
        <v>3666</v>
      </c>
      <c r="I1656" s="474"/>
      <c r="J1656" s="475" t="s">
        <v>5841</v>
      </c>
    </row>
    <row r="1657" spans="1:10" ht="14.25" customHeight="1">
      <c r="A1657" s="520" t="s">
        <v>2653</v>
      </c>
      <c r="B1657" s="521" t="s">
        <v>2654</v>
      </c>
      <c r="C1657" s="520" t="s">
        <v>213</v>
      </c>
      <c r="D1657" s="472">
        <v>20.13</v>
      </c>
      <c r="E1657" s="522">
        <v>18.61</v>
      </c>
      <c r="F1657" s="523" t="s">
        <v>4166</v>
      </c>
      <c r="G1657" s="524" t="s">
        <v>3663</v>
      </c>
      <c r="H1657" s="525" t="s">
        <v>3666</v>
      </c>
      <c r="I1657" s="474"/>
      <c r="J1657" s="475" t="s">
        <v>5842</v>
      </c>
    </row>
    <row r="1658" spans="1:10" ht="14.25" customHeight="1">
      <c r="A1658" s="520" t="s">
        <v>2655</v>
      </c>
      <c r="B1658" s="521" t="s">
        <v>2656</v>
      </c>
      <c r="C1658" s="520" t="s">
        <v>213</v>
      </c>
      <c r="D1658" s="472">
        <v>3.2970000000000002</v>
      </c>
      <c r="E1658" s="522">
        <v>3.0489999999999999</v>
      </c>
      <c r="F1658" s="523" t="s">
        <v>4166</v>
      </c>
      <c r="G1658" s="524" t="s">
        <v>3663</v>
      </c>
      <c r="H1658" s="525" t="s">
        <v>3666</v>
      </c>
      <c r="I1658" s="474"/>
      <c r="J1658" s="475" t="s">
        <v>5843</v>
      </c>
    </row>
    <row r="1659" spans="1:10" ht="14.25" customHeight="1">
      <c r="A1659" s="520" t="s">
        <v>2657</v>
      </c>
      <c r="B1659" s="521" t="s">
        <v>2658</v>
      </c>
      <c r="C1659" s="520" t="s">
        <v>213</v>
      </c>
      <c r="D1659" s="472">
        <v>20.077999999999999</v>
      </c>
      <c r="E1659" s="522">
        <v>18.562000000000001</v>
      </c>
      <c r="F1659" s="523" t="s">
        <v>4166</v>
      </c>
      <c r="G1659" s="524" t="s">
        <v>3663</v>
      </c>
      <c r="H1659" s="525" t="s">
        <v>3666</v>
      </c>
      <c r="I1659" s="474"/>
      <c r="J1659" s="475" t="s">
        <v>5844</v>
      </c>
    </row>
    <row r="1660" spans="1:10" ht="14.25" customHeight="1">
      <c r="A1660" s="520" t="s">
        <v>2659</v>
      </c>
      <c r="B1660" s="521" t="s">
        <v>2660</v>
      </c>
      <c r="C1660" s="520" t="s">
        <v>213</v>
      </c>
      <c r="D1660" s="472">
        <v>22.077999999999999</v>
      </c>
      <c r="E1660" s="522">
        <v>20.411000000000001</v>
      </c>
      <c r="F1660" s="523" t="s">
        <v>4166</v>
      </c>
      <c r="G1660" s="524" t="s">
        <v>3663</v>
      </c>
      <c r="H1660" s="525" t="s">
        <v>3666</v>
      </c>
      <c r="I1660" s="474"/>
      <c r="J1660" s="475" t="s">
        <v>5845</v>
      </c>
    </row>
    <row r="1661" spans="1:10" ht="14.25" customHeight="1">
      <c r="A1661" s="520" t="s">
        <v>2661</v>
      </c>
      <c r="B1661" s="521" t="s">
        <v>2662</v>
      </c>
      <c r="C1661" s="520" t="s">
        <v>213</v>
      </c>
      <c r="D1661" s="472">
        <v>23.753</v>
      </c>
      <c r="E1661" s="522">
        <v>22.1</v>
      </c>
      <c r="F1661" s="523" t="s">
        <v>4166</v>
      </c>
      <c r="G1661" s="524" t="s">
        <v>3663</v>
      </c>
      <c r="H1661" s="525" t="s">
        <v>3666</v>
      </c>
      <c r="I1661" s="474"/>
      <c r="J1661" s="475" t="s">
        <v>5846</v>
      </c>
    </row>
    <row r="1662" spans="1:10" ht="14.25" customHeight="1">
      <c r="A1662" s="520" t="s">
        <v>2663</v>
      </c>
      <c r="B1662" s="521" t="s">
        <v>2664</v>
      </c>
      <c r="C1662" s="520" t="s">
        <v>213</v>
      </c>
      <c r="D1662" s="472">
        <v>25.753</v>
      </c>
      <c r="E1662" s="522">
        <v>23.949000000000002</v>
      </c>
      <c r="F1662" s="523" t="s">
        <v>4166</v>
      </c>
      <c r="G1662" s="524" t="s">
        <v>3663</v>
      </c>
      <c r="H1662" s="525" t="s">
        <v>3666</v>
      </c>
      <c r="I1662" s="474"/>
      <c r="J1662" s="475" t="s">
        <v>5847</v>
      </c>
    </row>
    <row r="1663" spans="1:10" ht="14.25" customHeight="1">
      <c r="A1663" s="520" t="s">
        <v>2665</v>
      </c>
      <c r="B1663" s="521" t="s">
        <v>2666</v>
      </c>
      <c r="C1663" s="520" t="s">
        <v>213</v>
      </c>
      <c r="D1663" s="472">
        <v>12.129</v>
      </c>
      <c r="E1663" s="522">
        <v>11.212999999999999</v>
      </c>
      <c r="F1663" s="523" t="s">
        <v>4166</v>
      </c>
      <c r="G1663" s="524" t="s">
        <v>3663</v>
      </c>
      <c r="H1663" s="525" t="s">
        <v>3666</v>
      </c>
      <c r="I1663" s="474"/>
      <c r="J1663" s="475" t="s">
        <v>5848</v>
      </c>
    </row>
    <row r="1664" spans="1:10" ht="14.25" customHeight="1">
      <c r="A1664" s="520" t="s">
        <v>2667</v>
      </c>
      <c r="B1664" s="521" t="s">
        <v>2668</v>
      </c>
      <c r="C1664" s="520" t="s">
        <v>213</v>
      </c>
      <c r="D1664" s="472">
        <v>14.129</v>
      </c>
      <c r="E1664" s="522">
        <v>13.063000000000001</v>
      </c>
      <c r="F1664" s="523" t="s">
        <v>4166</v>
      </c>
      <c r="G1664" s="524" t="s">
        <v>3663</v>
      </c>
      <c r="H1664" s="525" t="s">
        <v>3666</v>
      </c>
      <c r="I1664" s="474"/>
      <c r="J1664" s="475" t="s">
        <v>5849</v>
      </c>
    </row>
    <row r="1665" spans="1:10" ht="14.25" customHeight="1">
      <c r="A1665" s="520" t="s">
        <v>2669</v>
      </c>
      <c r="B1665" s="521" t="s">
        <v>2670</v>
      </c>
      <c r="C1665" s="520" t="s">
        <v>213</v>
      </c>
      <c r="D1665" s="472">
        <v>18.13</v>
      </c>
      <c r="E1665" s="522">
        <v>16.760000000000002</v>
      </c>
      <c r="F1665" s="523" t="s">
        <v>4166</v>
      </c>
      <c r="G1665" s="524" t="s">
        <v>3663</v>
      </c>
      <c r="H1665" s="525" t="s">
        <v>3666</v>
      </c>
      <c r="I1665" s="474"/>
      <c r="J1665" s="475" t="s">
        <v>5850</v>
      </c>
    </row>
    <row r="1666" spans="1:10" ht="14.25" customHeight="1">
      <c r="A1666" s="520" t="s">
        <v>2671</v>
      </c>
      <c r="B1666" s="521" t="s">
        <v>2672</v>
      </c>
      <c r="C1666" s="520" t="s">
        <v>213</v>
      </c>
      <c r="D1666" s="472">
        <v>0.72799999999999998</v>
      </c>
      <c r="E1666" s="522">
        <v>0.67400000000000004</v>
      </c>
      <c r="F1666" s="523" t="s">
        <v>4166</v>
      </c>
      <c r="G1666" s="524" t="s">
        <v>3663</v>
      </c>
      <c r="H1666" s="525" t="s">
        <v>3666</v>
      </c>
      <c r="I1666" s="474"/>
      <c r="J1666" s="475" t="s">
        <v>5851</v>
      </c>
    </row>
    <row r="1667" spans="1:10" ht="14.25" customHeight="1">
      <c r="A1667" s="520" t="s">
        <v>2673</v>
      </c>
      <c r="B1667" s="521" t="s">
        <v>2674</v>
      </c>
      <c r="C1667" s="520" t="s">
        <v>213</v>
      </c>
      <c r="D1667" s="472">
        <v>20.13</v>
      </c>
      <c r="E1667" s="522">
        <v>18.61</v>
      </c>
      <c r="F1667" s="523" t="s">
        <v>4166</v>
      </c>
      <c r="G1667" s="524" t="s">
        <v>3663</v>
      </c>
      <c r="H1667" s="525" t="s">
        <v>3666</v>
      </c>
      <c r="I1667" s="474"/>
      <c r="J1667" s="475" t="s">
        <v>5852</v>
      </c>
    </row>
    <row r="1668" spans="1:10" ht="14.25" customHeight="1">
      <c r="A1668" s="520" t="s">
        <v>2675</v>
      </c>
      <c r="B1668" s="521" t="s">
        <v>2676</v>
      </c>
      <c r="C1668" s="520" t="s">
        <v>213</v>
      </c>
      <c r="D1668" s="472">
        <v>20.077999999999999</v>
      </c>
      <c r="E1668" s="522">
        <v>18.562000000000001</v>
      </c>
      <c r="F1668" s="523" t="s">
        <v>4166</v>
      </c>
      <c r="G1668" s="524" t="s">
        <v>3663</v>
      </c>
      <c r="H1668" s="525" t="s">
        <v>3666</v>
      </c>
      <c r="I1668" s="474"/>
      <c r="J1668" s="475" t="s">
        <v>5853</v>
      </c>
    </row>
    <row r="1669" spans="1:10" ht="14.25" customHeight="1">
      <c r="A1669" s="520" t="s">
        <v>2677</v>
      </c>
      <c r="B1669" s="521" t="s">
        <v>2678</v>
      </c>
      <c r="C1669" s="520" t="s">
        <v>213</v>
      </c>
      <c r="D1669" s="472">
        <v>22.077999999999999</v>
      </c>
      <c r="E1669" s="522">
        <v>20.411000000000001</v>
      </c>
      <c r="F1669" s="523" t="s">
        <v>4166</v>
      </c>
      <c r="G1669" s="524" t="s">
        <v>3663</v>
      </c>
      <c r="H1669" s="525" t="s">
        <v>3666</v>
      </c>
      <c r="I1669" s="474"/>
      <c r="J1669" s="475" t="s">
        <v>5854</v>
      </c>
    </row>
    <row r="1670" spans="1:10" ht="14.25" customHeight="1">
      <c r="A1670" s="520" t="s">
        <v>2679</v>
      </c>
      <c r="B1670" s="521" t="s">
        <v>2680</v>
      </c>
      <c r="C1670" s="520" t="s">
        <v>213</v>
      </c>
      <c r="D1670" s="472">
        <v>23.753</v>
      </c>
      <c r="E1670" s="522">
        <v>22.1</v>
      </c>
      <c r="F1670" s="523" t="s">
        <v>4166</v>
      </c>
      <c r="G1670" s="524" t="s">
        <v>3663</v>
      </c>
      <c r="H1670" s="525" t="s">
        <v>3666</v>
      </c>
      <c r="I1670" s="474"/>
      <c r="J1670" s="475" t="s">
        <v>5855</v>
      </c>
    </row>
    <row r="1671" spans="1:10" ht="14.25" customHeight="1">
      <c r="A1671" s="520" t="s">
        <v>2681</v>
      </c>
      <c r="B1671" s="521" t="s">
        <v>2682</v>
      </c>
      <c r="C1671" s="520" t="s">
        <v>213</v>
      </c>
      <c r="D1671" s="472">
        <v>25.753</v>
      </c>
      <c r="E1671" s="522">
        <v>23.949000000000002</v>
      </c>
      <c r="F1671" s="523" t="s">
        <v>4166</v>
      </c>
      <c r="G1671" s="524" t="s">
        <v>3663</v>
      </c>
      <c r="H1671" s="525" t="s">
        <v>3666</v>
      </c>
      <c r="I1671" s="474"/>
      <c r="J1671" s="475" t="s">
        <v>5856</v>
      </c>
    </row>
    <row r="1672" spans="1:10" ht="14.25" customHeight="1">
      <c r="A1672" s="520" t="s">
        <v>2683</v>
      </c>
      <c r="B1672" s="521" t="s">
        <v>2684</v>
      </c>
      <c r="C1672" s="520" t="s">
        <v>213</v>
      </c>
      <c r="D1672" s="472">
        <v>12.129</v>
      </c>
      <c r="E1672" s="522">
        <v>11.212999999999999</v>
      </c>
      <c r="F1672" s="523" t="s">
        <v>4166</v>
      </c>
      <c r="G1672" s="524" t="s">
        <v>3663</v>
      </c>
      <c r="H1672" s="525" t="s">
        <v>3666</v>
      </c>
      <c r="I1672" s="474"/>
      <c r="J1672" s="475" t="s">
        <v>5857</v>
      </c>
    </row>
    <row r="1673" spans="1:10" ht="14.25" customHeight="1">
      <c r="A1673" s="520" t="s">
        <v>2685</v>
      </c>
      <c r="B1673" s="521" t="s">
        <v>2686</v>
      </c>
      <c r="C1673" s="520" t="s">
        <v>213</v>
      </c>
      <c r="D1673" s="472">
        <v>14.129</v>
      </c>
      <c r="E1673" s="522">
        <v>13.063000000000001</v>
      </c>
      <c r="F1673" s="523">
        <v>67.400000000000006</v>
      </c>
      <c r="G1673" s="524" t="s">
        <v>3663</v>
      </c>
      <c r="H1673" s="525" t="s">
        <v>3666</v>
      </c>
      <c r="I1673" s="474"/>
      <c r="J1673" s="475" t="s">
        <v>5858</v>
      </c>
    </row>
    <row r="1674" spans="1:10" ht="14.25" customHeight="1">
      <c r="A1674" s="520" t="s">
        <v>2687</v>
      </c>
      <c r="B1674" s="521" t="s">
        <v>2688</v>
      </c>
      <c r="C1674" s="520" t="s">
        <v>213</v>
      </c>
      <c r="D1674" s="472">
        <v>18.13</v>
      </c>
      <c r="E1674" s="522">
        <v>16.760000000000002</v>
      </c>
      <c r="F1674" s="523" t="s">
        <v>4166</v>
      </c>
      <c r="G1674" s="524" t="s">
        <v>3663</v>
      </c>
      <c r="H1674" s="525" t="s">
        <v>3666</v>
      </c>
      <c r="I1674" s="474"/>
      <c r="J1674" s="475" t="s">
        <v>5859</v>
      </c>
    </row>
    <row r="1675" spans="1:10" ht="14.25" customHeight="1">
      <c r="A1675" s="520" t="s">
        <v>2689</v>
      </c>
      <c r="B1675" s="521" t="s">
        <v>2690</v>
      </c>
      <c r="C1675" s="520" t="s">
        <v>213</v>
      </c>
      <c r="D1675" s="472">
        <v>20.13</v>
      </c>
      <c r="E1675" s="522">
        <v>18.61</v>
      </c>
      <c r="F1675" s="523" t="s">
        <v>4166</v>
      </c>
      <c r="G1675" s="524" t="s">
        <v>3663</v>
      </c>
      <c r="H1675" s="525" t="s">
        <v>3666</v>
      </c>
      <c r="I1675" s="474"/>
      <c r="J1675" s="475" t="s">
        <v>5860</v>
      </c>
    </row>
    <row r="1676" spans="1:10" ht="14.25" customHeight="1">
      <c r="A1676" s="520" t="s">
        <v>2691</v>
      </c>
      <c r="B1676" s="521" t="s">
        <v>2692</v>
      </c>
      <c r="C1676" s="520" t="s">
        <v>213</v>
      </c>
      <c r="D1676" s="472">
        <v>20.077999999999999</v>
      </c>
      <c r="E1676" s="522">
        <v>18.562000000000001</v>
      </c>
      <c r="F1676" s="523" t="s">
        <v>4166</v>
      </c>
      <c r="G1676" s="524" t="s">
        <v>3663</v>
      </c>
      <c r="H1676" s="525" t="s">
        <v>3666</v>
      </c>
      <c r="I1676" s="474"/>
      <c r="J1676" s="475" t="s">
        <v>5861</v>
      </c>
    </row>
    <row r="1677" spans="1:10" ht="14.25" customHeight="1">
      <c r="A1677" s="520" t="s">
        <v>2693</v>
      </c>
      <c r="B1677" s="521" t="s">
        <v>2694</v>
      </c>
      <c r="C1677" s="520" t="s">
        <v>213</v>
      </c>
      <c r="D1677" s="472">
        <v>22.077999999999999</v>
      </c>
      <c r="E1677" s="522">
        <v>20.411000000000001</v>
      </c>
      <c r="F1677" s="523" t="s">
        <v>4166</v>
      </c>
      <c r="G1677" s="524" t="s">
        <v>3663</v>
      </c>
      <c r="H1677" s="525" t="s">
        <v>3666</v>
      </c>
      <c r="I1677" s="474"/>
      <c r="J1677" s="475" t="s">
        <v>5862</v>
      </c>
    </row>
    <row r="1678" spans="1:10" ht="14.25" customHeight="1">
      <c r="A1678" s="520" t="s">
        <v>2695</v>
      </c>
      <c r="B1678" s="521" t="s">
        <v>2696</v>
      </c>
      <c r="C1678" s="520" t="s">
        <v>213</v>
      </c>
      <c r="D1678" s="472">
        <v>23.753</v>
      </c>
      <c r="E1678" s="522">
        <v>22.1</v>
      </c>
      <c r="F1678" s="523" t="s">
        <v>4166</v>
      </c>
      <c r="G1678" s="524" t="s">
        <v>3663</v>
      </c>
      <c r="H1678" s="525" t="s">
        <v>3666</v>
      </c>
      <c r="I1678" s="474"/>
      <c r="J1678" s="475" t="s">
        <v>5863</v>
      </c>
    </row>
    <row r="1679" spans="1:10" ht="14.25" customHeight="1">
      <c r="A1679" s="520" t="s">
        <v>2697</v>
      </c>
      <c r="B1679" s="521" t="s">
        <v>2698</v>
      </c>
      <c r="C1679" s="520" t="s">
        <v>213</v>
      </c>
      <c r="D1679" s="472">
        <v>25.753</v>
      </c>
      <c r="E1679" s="522">
        <v>23.949000000000002</v>
      </c>
      <c r="F1679" s="523" t="s">
        <v>4166</v>
      </c>
      <c r="G1679" s="524" t="s">
        <v>3663</v>
      </c>
      <c r="H1679" s="525" t="s">
        <v>3666</v>
      </c>
      <c r="I1679" s="474"/>
      <c r="J1679" s="475" t="s">
        <v>5864</v>
      </c>
    </row>
    <row r="1680" spans="1:10" ht="14.25" customHeight="1">
      <c r="A1680" s="520" t="s">
        <v>2699</v>
      </c>
      <c r="B1680" s="521" t="s">
        <v>2700</v>
      </c>
      <c r="C1680" s="520" t="s">
        <v>213</v>
      </c>
      <c r="D1680" s="472">
        <v>12.129</v>
      </c>
      <c r="E1680" s="522">
        <v>11.212999999999999</v>
      </c>
      <c r="F1680" s="523" t="s">
        <v>4166</v>
      </c>
      <c r="G1680" s="524" t="s">
        <v>3663</v>
      </c>
      <c r="H1680" s="525" t="s">
        <v>3666</v>
      </c>
      <c r="I1680" s="474"/>
      <c r="J1680" s="475" t="s">
        <v>5865</v>
      </c>
    </row>
    <row r="1681" spans="1:10" ht="14.25" customHeight="1">
      <c r="A1681" s="520" t="s">
        <v>2701</v>
      </c>
      <c r="B1681" s="521" t="s">
        <v>2702</v>
      </c>
      <c r="C1681" s="520" t="s">
        <v>213</v>
      </c>
      <c r="D1681" s="472">
        <v>14.129</v>
      </c>
      <c r="E1681" s="522">
        <v>13.063000000000001</v>
      </c>
      <c r="F1681" s="523" t="s">
        <v>4166</v>
      </c>
      <c r="G1681" s="524" t="s">
        <v>3663</v>
      </c>
      <c r="H1681" s="525" t="s">
        <v>3666</v>
      </c>
      <c r="I1681" s="474"/>
      <c r="J1681" s="475" t="s">
        <v>5866</v>
      </c>
    </row>
    <row r="1682" spans="1:10" ht="14.25" customHeight="1">
      <c r="A1682" s="520" t="s">
        <v>2703</v>
      </c>
      <c r="B1682" s="521" t="s">
        <v>2704</v>
      </c>
      <c r="C1682" s="520" t="s">
        <v>213</v>
      </c>
      <c r="D1682" s="472">
        <v>20.143999999999998</v>
      </c>
      <c r="E1682" s="522">
        <v>18.623000000000001</v>
      </c>
      <c r="F1682" s="523" t="s">
        <v>4166</v>
      </c>
      <c r="G1682" s="524" t="s">
        <v>3663</v>
      </c>
      <c r="H1682" s="525" t="s">
        <v>3666</v>
      </c>
      <c r="I1682" s="474"/>
      <c r="J1682" s="475" t="s">
        <v>5867</v>
      </c>
    </row>
    <row r="1683" spans="1:10" ht="14.25" customHeight="1">
      <c r="A1683" s="520" t="s">
        <v>2705</v>
      </c>
      <c r="B1683" s="521" t="s">
        <v>2706</v>
      </c>
      <c r="C1683" s="520" t="s">
        <v>213</v>
      </c>
      <c r="D1683" s="472">
        <v>22.367000000000001</v>
      </c>
      <c r="E1683" s="522">
        <v>20.677</v>
      </c>
      <c r="F1683" s="523" t="s">
        <v>4166</v>
      </c>
      <c r="G1683" s="524" t="s">
        <v>3663</v>
      </c>
      <c r="H1683" s="525" t="s">
        <v>3666</v>
      </c>
      <c r="I1683" s="474"/>
      <c r="J1683" s="475" t="s">
        <v>5868</v>
      </c>
    </row>
    <row r="1684" spans="1:10" ht="14.25" customHeight="1">
      <c r="A1684" s="520" t="s">
        <v>2707</v>
      </c>
      <c r="B1684" s="521" t="s">
        <v>2708</v>
      </c>
      <c r="C1684" s="520" t="s">
        <v>213</v>
      </c>
      <c r="D1684" s="472">
        <v>22.309000000000001</v>
      </c>
      <c r="E1684" s="522">
        <v>20.623999999999999</v>
      </c>
      <c r="F1684" s="523" t="s">
        <v>4166</v>
      </c>
      <c r="G1684" s="524" t="s">
        <v>3663</v>
      </c>
      <c r="H1684" s="525" t="s">
        <v>3666</v>
      </c>
      <c r="I1684" s="474"/>
      <c r="J1684" s="475" t="s">
        <v>5869</v>
      </c>
    </row>
    <row r="1685" spans="1:10" ht="14.25" customHeight="1">
      <c r="A1685" s="520" t="s">
        <v>2709</v>
      </c>
      <c r="B1685" s="521" t="s">
        <v>2710</v>
      </c>
      <c r="C1685" s="520" t="s">
        <v>213</v>
      </c>
      <c r="D1685" s="472">
        <v>24.530999999999999</v>
      </c>
      <c r="E1685" s="522">
        <v>22.678000000000001</v>
      </c>
      <c r="F1685" s="523">
        <v>85.6</v>
      </c>
      <c r="G1685" s="524" t="s">
        <v>3663</v>
      </c>
      <c r="H1685" s="525" t="s">
        <v>3666</v>
      </c>
      <c r="I1685" s="474"/>
      <c r="J1685" s="475" t="s">
        <v>5870</v>
      </c>
    </row>
    <row r="1686" spans="1:10" ht="14.25" customHeight="1">
      <c r="A1686" s="520" t="s">
        <v>2711</v>
      </c>
      <c r="B1686" s="521" t="s">
        <v>2712</v>
      </c>
      <c r="C1686" s="520" t="s">
        <v>213</v>
      </c>
      <c r="D1686" s="472">
        <v>26.294</v>
      </c>
      <c r="E1686" s="522">
        <v>24.448</v>
      </c>
      <c r="F1686" s="523" t="s">
        <v>4166</v>
      </c>
      <c r="G1686" s="524" t="s">
        <v>3663</v>
      </c>
      <c r="H1686" s="525" t="s">
        <v>3666</v>
      </c>
      <c r="I1686" s="474"/>
      <c r="J1686" s="475" t="s">
        <v>5871</v>
      </c>
    </row>
    <row r="1687" spans="1:10" ht="14.25" customHeight="1">
      <c r="A1687" s="520" t="s">
        <v>2713</v>
      </c>
      <c r="B1687" s="521" t="s">
        <v>2714</v>
      </c>
      <c r="C1687" s="520" t="s">
        <v>213</v>
      </c>
      <c r="D1687" s="472">
        <v>28.515999999999998</v>
      </c>
      <c r="E1687" s="522">
        <v>26.504000000000001</v>
      </c>
      <c r="F1687" s="523" t="s">
        <v>4166</v>
      </c>
      <c r="G1687" s="524" t="s">
        <v>3663</v>
      </c>
      <c r="H1687" s="525" t="s">
        <v>3666</v>
      </c>
      <c r="I1687" s="474"/>
      <c r="J1687" s="475" t="s">
        <v>5872</v>
      </c>
    </row>
    <row r="1688" spans="1:10" ht="14.25" customHeight="1">
      <c r="A1688" s="520" t="s">
        <v>2715</v>
      </c>
      <c r="B1688" s="521" t="s">
        <v>2716</v>
      </c>
      <c r="C1688" s="520" t="s">
        <v>213</v>
      </c>
      <c r="D1688" s="472">
        <v>13.477</v>
      </c>
      <c r="E1688" s="522">
        <v>12.459</v>
      </c>
      <c r="F1688" s="523" t="s">
        <v>4166</v>
      </c>
      <c r="G1688" s="524" t="s">
        <v>3663</v>
      </c>
      <c r="H1688" s="525" t="s">
        <v>3666</v>
      </c>
      <c r="I1688" s="474"/>
      <c r="J1688" s="475" t="s">
        <v>5873</v>
      </c>
    </row>
    <row r="1689" spans="1:10" ht="14.25" customHeight="1">
      <c r="A1689" s="520" t="s">
        <v>2717</v>
      </c>
      <c r="B1689" s="521" t="s">
        <v>2718</v>
      </c>
      <c r="C1689" s="520" t="s">
        <v>213</v>
      </c>
      <c r="D1689" s="472">
        <v>15.699</v>
      </c>
      <c r="E1689" s="522">
        <v>14.513999999999999</v>
      </c>
      <c r="F1689" s="523" t="s">
        <v>4166</v>
      </c>
      <c r="G1689" s="524" t="s">
        <v>3663</v>
      </c>
      <c r="H1689" s="525" t="s">
        <v>3666</v>
      </c>
      <c r="I1689" s="474"/>
      <c r="J1689" s="475" t="s">
        <v>5874</v>
      </c>
    </row>
    <row r="1690" spans="1:10" ht="14.25" customHeight="1">
      <c r="A1690" s="520" t="s">
        <v>2719</v>
      </c>
      <c r="B1690" s="521" t="s">
        <v>2720</v>
      </c>
      <c r="C1690" s="520" t="s">
        <v>213</v>
      </c>
      <c r="D1690" s="472">
        <v>20.13</v>
      </c>
      <c r="E1690" s="522">
        <v>18.61</v>
      </c>
      <c r="F1690" s="523" t="s">
        <v>4166</v>
      </c>
      <c r="G1690" s="524" t="s">
        <v>3663</v>
      </c>
      <c r="H1690" s="525" t="s">
        <v>3666</v>
      </c>
      <c r="I1690" s="474"/>
      <c r="J1690" s="475" t="s">
        <v>5875</v>
      </c>
    </row>
    <row r="1691" spans="1:10" ht="14.25" customHeight="1">
      <c r="A1691" s="520" t="s">
        <v>2721</v>
      </c>
      <c r="B1691" s="521" t="s">
        <v>2722</v>
      </c>
      <c r="C1691" s="520" t="s">
        <v>213</v>
      </c>
      <c r="D1691" s="472">
        <v>22.077999999999999</v>
      </c>
      <c r="E1691" s="522">
        <v>20.411000000000001</v>
      </c>
      <c r="F1691" s="523" t="s">
        <v>4166</v>
      </c>
      <c r="G1691" s="524" t="s">
        <v>3663</v>
      </c>
      <c r="H1691" s="525" t="s">
        <v>3666</v>
      </c>
      <c r="I1691" s="474"/>
      <c r="J1691" s="475" t="s">
        <v>5876</v>
      </c>
    </row>
    <row r="1692" spans="1:10" ht="14.25" customHeight="1">
      <c r="A1692" s="520" t="s">
        <v>2723</v>
      </c>
      <c r="B1692" s="521" t="s">
        <v>2724</v>
      </c>
      <c r="C1692" s="520" t="s">
        <v>213</v>
      </c>
      <c r="D1692" s="472">
        <v>25.753</v>
      </c>
      <c r="E1692" s="522">
        <v>23.949000000000002</v>
      </c>
      <c r="F1692" s="523" t="s">
        <v>4166</v>
      </c>
      <c r="G1692" s="524" t="s">
        <v>3663</v>
      </c>
      <c r="H1692" s="525" t="s">
        <v>3666</v>
      </c>
      <c r="I1692" s="474"/>
      <c r="J1692" s="475" t="s">
        <v>5877</v>
      </c>
    </row>
    <row r="1693" spans="1:10" ht="14.25" customHeight="1">
      <c r="A1693" s="520" t="s">
        <v>2725</v>
      </c>
      <c r="B1693" s="521" t="s">
        <v>2726</v>
      </c>
      <c r="C1693" s="520" t="s">
        <v>213</v>
      </c>
      <c r="D1693" s="472">
        <v>14.129</v>
      </c>
      <c r="E1693" s="522">
        <v>13.063000000000001</v>
      </c>
      <c r="F1693" s="523" t="s">
        <v>4166</v>
      </c>
      <c r="G1693" s="524" t="s">
        <v>3663</v>
      </c>
      <c r="H1693" s="525" t="s">
        <v>3666</v>
      </c>
      <c r="I1693" s="474"/>
      <c r="J1693" s="475" t="s">
        <v>5878</v>
      </c>
    </row>
    <row r="1694" spans="1:10" ht="14.25" customHeight="1">
      <c r="A1694" s="520" t="s">
        <v>2727</v>
      </c>
      <c r="B1694" s="521" t="s">
        <v>2728</v>
      </c>
      <c r="C1694" s="520" t="s">
        <v>213</v>
      </c>
      <c r="D1694" s="472">
        <v>7.74</v>
      </c>
      <c r="E1694" s="522">
        <v>7.1550000000000002</v>
      </c>
      <c r="F1694" s="523" t="s">
        <v>4166</v>
      </c>
      <c r="G1694" s="524" t="s">
        <v>3663</v>
      </c>
      <c r="H1694" s="525" t="s">
        <v>3666</v>
      </c>
      <c r="I1694" s="474"/>
      <c r="J1694" s="475" t="s">
        <v>5879</v>
      </c>
    </row>
    <row r="1695" spans="1:10" ht="14.25" customHeight="1">
      <c r="A1695" s="520" t="s">
        <v>2729</v>
      </c>
      <c r="B1695" s="521" t="s">
        <v>2730</v>
      </c>
      <c r="C1695" s="520" t="s">
        <v>213</v>
      </c>
      <c r="D1695" s="472">
        <v>9.74</v>
      </c>
      <c r="E1695" s="522">
        <v>9.0050000000000008</v>
      </c>
      <c r="F1695" s="523" t="s">
        <v>4166</v>
      </c>
      <c r="G1695" s="524" t="s">
        <v>3663</v>
      </c>
      <c r="H1695" s="525" t="s">
        <v>3666</v>
      </c>
      <c r="I1695" s="474"/>
      <c r="J1695" s="475" t="s">
        <v>5880</v>
      </c>
    </row>
    <row r="1696" spans="1:10" ht="14.25" customHeight="1">
      <c r="A1696" s="520" t="s">
        <v>2731</v>
      </c>
      <c r="B1696" s="521" t="s">
        <v>2732</v>
      </c>
      <c r="C1696" s="520" t="s">
        <v>213</v>
      </c>
      <c r="D1696" s="472">
        <v>7.74</v>
      </c>
      <c r="E1696" s="522">
        <v>7.1550000000000002</v>
      </c>
      <c r="F1696" s="523" t="s">
        <v>4166</v>
      </c>
      <c r="G1696" s="524" t="s">
        <v>3663</v>
      </c>
      <c r="H1696" s="525" t="s">
        <v>3666</v>
      </c>
      <c r="I1696" s="474"/>
      <c r="J1696" s="475" t="s">
        <v>5881</v>
      </c>
    </row>
    <row r="1697" spans="1:10" ht="14.25" customHeight="1">
      <c r="A1697" s="520" t="s">
        <v>2733</v>
      </c>
      <c r="B1697" s="521" t="s">
        <v>2734</v>
      </c>
      <c r="C1697" s="520" t="s">
        <v>213</v>
      </c>
      <c r="D1697" s="472">
        <v>9.74</v>
      </c>
      <c r="E1697" s="522">
        <v>9.0050000000000008</v>
      </c>
      <c r="F1697" s="523" t="s">
        <v>4166</v>
      </c>
      <c r="G1697" s="524" t="s">
        <v>3663</v>
      </c>
      <c r="H1697" s="525" t="s">
        <v>3666</v>
      </c>
      <c r="I1697" s="474"/>
      <c r="J1697" s="475" t="s">
        <v>5882</v>
      </c>
    </row>
    <row r="1698" spans="1:10" ht="14.25" customHeight="1">
      <c r="A1698" s="520" t="s">
        <v>2735</v>
      </c>
      <c r="B1698" s="521" t="s">
        <v>2736</v>
      </c>
      <c r="C1698" s="520" t="s">
        <v>213</v>
      </c>
      <c r="D1698" s="472">
        <v>7.74</v>
      </c>
      <c r="E1698" s="522">
        <v>7.1550000000000002</v>
      </c>
      <c r="F1698" s="523" t="s">
        <v>4166</v>
      </c>
      <c r="G1698" s="524" t="s">
        <v>3663</v>
      </c>
      <c r="H1698" s="525" t="s">
        <v>3666</v>
      </c>
      <c r="I1698" s="474"/>
      <c r="J1698" s="475" t="s">
        <v>5883</v>
      </c>
    </row>
    <row r="1699" spans="1:10" ht="14.25" customHeight="1">
      <c r="A1699" s="520" t="s">
        <v>2737</v>
      </c>
      <c r="B1699" s="521" t="s">
        <v>2738</v>
      </c>
      <c r="C1699" s="520" t="s">
        <v>213</v>
      </c>
      <c r="D1699" s="472">
        <v>9.74</v>
      </c>
      <c r="E1699" s="522">
        <v>9.0050000000000008</v>
      </c>
      <c r="F1699" s="523" t="s">
        <v>4166</v>
      </c>
      <c r="G1699" s="524" t="s">
        <v>3663</v>
      </c>
      <c r="H1699" s="525" t="s">
        <v>3666</v>
      </c>
      <c r="I1699" s="474"/>
      <c r="J1699" s="475" t="s">
        <v>5884</v>
      </c>
    </row>
    <row r="1700" spans="1:10" ht="14.25" customHeight="1">
      <c r="A1700" s="520" t="s">
        <v>2739</v>
      </c>
      <c r="B1700" s="521" t="s">
        <v>2740</v>
      </c>
      <c r="C1700" s="520" t="s">
        <v>213</v>
      </c>
      <c r="D1700" s="472">
        <v>7.74</v>
      </c>
      <c r="E1700" s="522">
        <v>7.1550000000000002</v>
      </c>
      <c r="F1700" s="523" t="s">
        <v>4166</v>
      </c>
      <c r="G1700" s="524" t="s">
        <v>3663</v>
      </c>
      <c r="H1700" s="525" t="s">
        <v>3666</v>
      </c>
      <c r="I1700" s="474"/>
      <c r="J1700" s="475" t="s">
        <v>5885</v>
      </c>
    </row>
    <row r="1701" spans="1:10" ht="14.25" customHeight="1">
      <c r="A1701" s="520" t="s">
        <v>2741</v>
      </c>
      <c r="B1701" s="521" t="s">
        <v>2742</v>
      </c>
      <c r="C1701" s="520" t="s">
        <v>213</v>
      </c>
      <c r="D1701" s="472">
        <v>9.74</v>
      </c>
      <c r="E1701" s="522">
        <v>9.0050000000000008</v>
      </c>
      <c r="F1701" s="523" t="s">
        <v>4166</v>
      </c>
      <c r="G1701" s="524" t="s">
        <v>3663</v>
      </c>
      <c r="H1701" s="525" t="s">
        <v>3666</v>
      </c>
      <c r="I1701" s="474"/>
      <c r="J1701" s="475" t="s">
        <v>5886</v>
      </c>
    </row>
    <row r="1702" spans="1:10" ht="14.25" customHeight="1">
      <c r="A1702" s="520" t="s">
        <v>2743</v>
      </c>
      <c r="B1702" s="521" t="s">
        <v>2744</v>
      </c>
      <c r="C1702" s="520" t="s">
        <v>213</v>
      </c>
      <c r="D1702" s="472">
        <v>18.13</v>
      </c>
      <c r="E1702" s="522">
        <v>16.760000000000002</v>
      </c>
      <c r="F1702" s="523" t="s">
        <v>4166</v>
      </c>
      <c r="G1702" s="524" t="s">
        <v>3663</v>
      </c>
      <c r="H1702" s="525" t="s">
        <v>3666</v>
      </c>
      <c r="I1702" s="474"/>
      <c r="J1702" s="475" t="s">
        <v>5887</v>
      </c>
    </row>
    <row r="1703" spans="1:10" ht="14.25" customHeight="1">
      <c r="A1703" s="520" t="s">
        <v>2745</v>
      </c>
      <c r="B1703" s="521" t="s">
        <v>2746</v>
      </c>
      <c r="C1703" s="520" t="s">
        <v>213</v>
      </c>
      <c r="D1703" s="472">
        <v>3.0979999999999999</v>
      </c>
      <c r="E1703" s="522">
        <v>2.8639999999999999</v>
      </c>
      <c r="F1703" s="523" t="s">
        <v>4166</v>
      </c>
      <c r="G1703" s="524" t="s">
        <v>3663</v>
      </c>
      <c r="H1703" s="525" t="s">
        <v>3666</v>
      </c>
      <c r="I1703" s="474"/>
      <c r="J1703" s="475" t="s">
        <v>5888</v>
      </c>
    </row>
    <row r="1704" spans="1:10" ht="14.25" customHeight="1">
      <c r="A1704" s="520" t="s">
        <v>2747</v>
      </c>
      <c r="B1704" s="521" t="s">
        <v>2748</v>
      </c>
      <c r="C1704" s="520" t="s">
        <v>213</v>
      </c>
      <c r="D1704" s="472">
        <v>20.13</v>
      </c>
      <c r="E1704" s="522">
        <v>18.61</v>
      </c>
      <c r="F1704" s="523" t="s">
        <v>4166</v>
      </c>
      <c r="G1704" s="524" t="s">
        <v>3663</v>
      </c>
      <c r="H1704" s="525" t="s">
        <v>3666</v>
      </c>
      <c r="I1704" s="474"/>
      <c r="J1704" s="475" t="s">
        <v>5889</v>
      </c>
    </row>
    <row r="1705" spans="1:10" ht="14.25" customHeight="1">
      <c r="A1705" s="520" t="s">
        <v>2749</v>
      </c>
      <c r="B1705" s="521" t="s">
        <v>2750</v>
      </c>
      <c r="C1705" s="520" t="s">
        <v>213</v>
      </c>
      <c r="D1705" s="472">
        <v>3.2970000000000002</v>
      </c>
      <c r="E1705" s="522">
        <v>3.0489999999999999</v>
      </c>
      <c r="F1705" s="523" t="s">
        <v>4166</v>
      </c>
      <c r="G1705" s="524" t="s">
        <v>3663</v>
      </c>
      <c r="H1705" s="525" t="s">
        <v>3666</v>
      </c>
      <c r="I1705" s="474"/>
      <c r="J1705" s="475" t="s">
        <v>5890</v>
      </c>
    </row>
    <row r="1706" spans="1:10" ht="14.25" customHeight="1">
      <c r="A1706" s="520" t="s">
        <v>2751</v>
      </c>
      <c r="B1706" s="521" t="s">
        <v>2752</v>
      </c>
      <c r="C1706" s="520" t="s">
        <v>213</v>
      </c>
      <c r="D1706" s="472">
        <v>20.077999999999999</v>
      </c>
      <c r="E1706" s="522">
        <v>18.562000000000001</v>
      </c>
      <c r="F1706" s="523" t="s">
        <v>4166</v>
      </c>
      <c r="G1706" s="524" t="s">
        <v>3663</v>
      </c>
      <c r="H1706" s="525" t="s">
        <v>3666</v>
      </c>
      <c r="I1706" s="474"/>
      <c r="J1706" s="475" t="s">
        <v>5891</v>
      </c>
    </row>
    <row r="1707" spans="1:10" ht="14.25" customHeight="1">
      <c r="A1707" s="520" t="s">
        <v>2753</v>
      </c>
      <c r="B1707" s="521" t="s">
        <v>2754</v>
      </c>
      <c r="C1707" s="520" t="s">
        <v>213</v>
      </c>
      <c r="D1707" s="472">
        <v>22.077999999999999</v>
      </c>
      <c r="E1707" s="522">
        <v>20.411000000000001</v>
      </c>
      <c r="F1707" s="523" t="s">
        <v>4166</v>
      </c>
      <c r="G1707" s="524" t="s">
        <v>3663</v>
      </c>
      <c r="H1707" s="525" t="s">
        <v>3666</v>
      </c>
      <c r="I1707" s="474"/>
      <c r="J1707" s="475" t="s">
        <v>5892</v>
      </c>
    </row>
    <row r="1708" spans="1:10" ht="14.25" customHeight="1">
      <c r="A1708" s="520" t="s">
        <v>2755</v>
      </c>
      <c r="B1708" s="521" t="s">
        <v>2756</v>
      </c>
      <c r="C1708" s="520" t="s">
        <v>213</v>
      </c>
      <c r="D1708" s="472">
        <v>23.753</v>
      </c>
      <c r="E1708" s="522">
        <v>22.1</v>
      </c>
      <c r="F1708" s="523" t="s">
        <v>4166</v>
      </c>
      <c r="G1708" s="524" t="s">
        <v>3663</v>
      </c>
      <c r="H1708" s="525" t="s">
        <v>3666</v>
      </c>
      <c r="I1708" s="474"/>
      <c r="J1708" s="475" t="s">
        <v>5893</v>
      </c>
    </row>
    <row r="1709" spans="1:10" ht="14.25" customHeight="1">
      <c r="A1709" s="520" t="s">
        <v>2757</v>
      </c>
      <c r="B1709" s="521" t="s">
        <v>2758</v>
      </c>
      <c r="C1709" s="520" t="s">
        <v>213</v>
      </c>
      <c r="D1709" s="472">
        <v>25.753</v>
      </c>
      <c r="E1709" s="522">
        <v>23.949000000000002</v>
      </c>
      <c r="F1709" s="523" t="s">
        <v>4166</v>
      </c>
      <c r="G1709" s="524" t="s">
        <v>3663</v>
      </c>
      <c r="H1709" s="525" t="s">
        <v>3666</v>
      </c>
      <c r="I1709" s="474"/>
      <c r="J1709" s="475" t="s">
        <v>5894</v>
      </c>
    </row>
    <row r="1710" spans="1:10" ht="14.25" customHeight="1">
      <c r="A1710" s="520" t="s">
        <v>2759</v>
      </c>
      <c r="B1710" s="521" t="s">
        <v>2760</v>
      </c>
      <c r="C1710" s="520" t="s">
        <v>213</v>
      </c>
      <c r="D1710" s="472">
        <v>12.129</v>
      </c>
      <c r="E1710" s="522">
        <v>11.212999999999999</v>
      </c>
      <c r="F1710" s="523" t="s">
        <v>4166</v>
      </c>
      <c r="G1710" s="524" t="s">
        <v>3663</v>
      </c>
      <c r="H1710" s="525" t="s">
        <v>3666</v>
      </c>
      <c r="I1710" s="474"/>
      <c r="J1710" s="475" t="s">
        <v>5895</v>
      </c>
    </row>
    <row r="1711" spans="1:10" ht="14.25" customHeight="1">
      <c r="A1711" s="520" t="s">
        <v>2761</v>
      </c>
      <c r="B1711" s="521" t="s">
        <v>2762</v>
      </c>
      <c r="C1711" s="520" t="s">
        <v>213</v>
      </c>
      <c r="D1711" s="472">
        <v>14.129</v>
      </c>
      <c r="E1711" s="522">
        <v>13.063000000000001</v>
      </c>
      <c r="F1711" s="523" t="s">
        <v>4166</v>
      </c>
      <c r="G1711" s="524" t="s">
        <v>3663</v>
      </c>
      <c r="H1711" s="525" t="s">
        <v>3666</v>
      </c>
      <c r="I1711" s="474"/>
      <c r="J1711" s="475" t="s">
        <v>5896</v>
      </c>
    </row>
    <row r="1712" spans="1:10" ht="14.25" customHeight="1">
      <c r="A1712" s="520" t="s">
        <v>2763</v>
      </c>
      <c r="B1712" s="521" t="s">
        <v>2764</v>
      </c>
      <c r="C1712" s="520" t="s">
        <v>213</v>
      </c>
      <c r="D1712" s="472">
        <v>23.658999999999999</v>
      </c>
      <c r="E1712" s="522">
        <v>22.064</v>
      </c>
      <c r="F1712" s="523" t="s">
        <v>4166</v>
      </c>
      <c r="G1712" s="524" t="s">
        <v>3663</v>
      </c>
      <c r="H1712" s="525" t="s">
        <v>3666</v>
      </c>
      <c r="I1712" s="474"/>
      <c r="J1712" s="475" t="s">
        <v>5897</v>
      </c>
    </row>
    <row r="1713" spans="1:10" ht="14.25" customHeight="1">
      <c r="A1713" s="520" t="s">
        <v>2765</v>
      </c>
      <c r="B1713" s="521" t="s">
        <v>2766</v>
      </c>
      <c r="C1713" s="520" t="s">
        <v>213</v>
      </c>
      <c r="D1713" s="472">
        <v>5.0229999999999997</v>
      </c>
      <c r="E1713" s="522">
        <v>4.6779999999999999</v>
      </c>
      <c r="F1713" s="523" t="s">
        <v>4166</v>
      </c>
      <c r="G1713" s="524" t="s">
        <v>3663</v>
      </c>
      <c r="H1713" s="525" t="s">
        <v>3666</v>
      </c>
      <c r="I1713" s="474"/>
      <c r="J1713" s="475" t="s">
        <v>5898</v>
      </c>
    </row>
    <row r="1714" spans="1:10" ht="14.25" customHeight="1">
      <c r="A1714" s="520" t="s">
        <v>2767</v>
      </c>
      <c r="B1714" s="521" t="s">
        <v>2768</v>
      </c>
      <c r="C1714" s="520" t="s">
        <v>213</v>
      </c>
      <c r="D1714" s="472">
        <v>1.4330000000000001</v>
      </c>
      <c r="E1714" s="522">
        <v>1.3420000000000001</v>
      </c>
      <c r="F1714" s="523" t="s">
        <v>4166</v>
      </c>
      <c r="G1714" s="524" t="s">
        <v>3663</v>
      </c>
      <c r="H1714" s="525" t="s">
        <v>3666</v>
      </c>
      <c r="I1714" s="474"/>
      <c r="J1714" s="475" t="s">
        <v>5899</v>
      </c>
    </row>
    <row r="1715" spans="1:10" ht="14.25" customHeight="1">
      <c r="A1715" s="520" t="s">
        <v>2769</v>
      </c>
      <c r="B1715" s="521" t="s">
        <v>2770</v>
      </c>
      <c r="C1715" s="520" t="s">
        <v>213</v>
      </c>
      <c r="D1715" s="472">
        <v>1.2669999999999999</v>
      </c>
      <c r="E1715" s="522">
        <v>1.1830000000000001</v>
      </c>
      <c r="F1715" s="523" t="s">
        <v>4166</v>
      </c>
      <c r="G1715" s="524" t="s">
        <v>3663</v>
      </c>
      <c r="H1715" s="525" t="s">
        <v>3666</v>
      </c>
      <c r="I1715" s="474"/>
      <c r="J1715" s="475" t="s">
        <v>5900</v>
      </c>
    </row>
    <row r="1716" spans="1:10" ht="14.25" customHeight="1">
      <c r="A1716" s="520" t="s">
        <v>2771</v>
      </c>
      <c r="B1716" s="521" t="s">
        <v>2772</v>
      </c>
      <c r="C1716" s="520" t="s">
        <v>213</v>
      </c>
      <c r="D1716" s="472">
        <v>1.1819999999999999</v>
      </c>
      <c r="E1716" s="522">
        <v>1.0940000000000001</v>
      </c>
      <c r="F1716" s="523" t="s">
        <v>4166</v>
      </c>
      <c r="G1716" s="524" t="s">
        <v>3663</v>
      </c>
      <c r="H1716" s="525" t="s">
        <v>3666</v>
      </c>
      <c r="I1716" s="474"/>
      <c r="J1716" s="475" t="s">
        <v>5901</v>
      </c>
    </row>
    <row r="1717" spans="1:10" ht="14.25" customHeight="1">
      <c r="A1717" s="520" t="s">
        <v>2773</v>
      </c>
      <c r="B1717" s="521" t="s">
        <v>2774</v>
      </c>
      <c r="C1717" s="520" t="s">
        <v>213</v>
      </c>
      <c r="D1717" s="472">
        <v>0.91700000000000004</v>
      </c>
      <c r="E1717" s="522">
        <v>0.86499999999999999</v>
      </c>
      <c r="F1717" s="523" t="s">
        <v>4166</v>
      </c>
      <c r="G1717" s="524" t="s">
        <v>3663</v>
      </c>
      <c r="H1717" s="525" t="s">
        <v>3666</v>
      </c>
      <c r="I1717" s="474"/>
      <c r="J1717" s="475" t="s">
        <v>5902</v>
      </c>
    </row>
    <row r="1718" spans="1:10" ht="14.25" customHeight="1">
      <c r="A1718" s="520" t="s">
        <v>2775</v>
      </c>
      <c r="B1718" s="521" t="s">
        <v>4090</v>
      </c>
      <c r="C1718" s="520" t="s">
        <v>213</v>
      </c>
      <c r="D1718" s="472">
        <v>0.43099999999999999</v>
      </c>
      <c r="E1718" s="522">
        <v>0.39300000000000002</v>
      </c>
      <c r="F1718" s="523" t="s">
        <v>4166</v>
      </c>
      <c r="G1718" s="526" t="s">
        <v>3668</v>
      </c>
      <c r="H1718" s="525" t="s">
        <v>3669</v>
      </c>
      <c r="I1718" s="474">
        <v>4016.93</v>
      </c>
      <c r="J1718" s="475" t="s">
        <v>5903</v>
      </c>
    </row>
    <row r="1719" spans="1:10" ht="14.25" customHeight="1">
      <c r="A1719" s="520" t="s">
        <v>2776</v>
      </c>
      <c r="B1719" s="521" t="s">
        <v>2777</v>
      </c>
      <c r="C1719" s="520" t="s">
        <v>213</v>
      </c>
      <c r="D1719" s="472">
        <v>2.7559999999999998</v>
      </c>
      <c r="E1719" s="522">
        <v>2.552</v>
      </c>
      <c r="F1719" s="523" t="s">
        <v>4166</v>
      </c>
      <c r="G1719" s="524" t="s">
        <v>3663</v>
      </c>
      <c r="H1719" s="525" t="s">
        <v>3666</v>
      </c>
      <c r="I1719" s="474"/>
      <c r="J1719" s="475" t="s">
        <v>5904</v>
      </c>
    </row>
    <row r="1720" spans="1:10" ht="14.25" customHeight="1">
      <c r="A1720" s="520" t="s">
        <v>2778</v>
      </c>
      <c r="B1720" s="521" t="s">
        <v>2779</v>
      </c>
      <c r="C1720" s="520" t="s">
        <v>213</v>
      </c>
      <c r="D1720" s="472">
        <v>1.1819999999999999</v>
      </c>
      <c r="E1720" s="522">
        <v>1.0940000000000001</v>
      </c>
      <c r="F1720" s="523" t="s">
        <v>4166</v>
      </c>
      <c r="G1720" s="524" t="s">
        <v>3663</v>
      </c>
      <c r="H1720" s="525" t="s">
        <v>3666</v>
      </c>
      <c r="I1720" s="474"/>
      <c r="J1720" s="475" t="s">
        <v>5905</v>
      </c>
    </row>
    <row r="1721" spans="1:10" ht="14.25" customHeight="1">
      <c r="A1721" s="520" t="s">
        <v>2780</v>
      </c>
      <c r="B1721" s="521" t="s">
        <v>4091</v>
      </c>
      <c r="C1721" s="520" t="s">
        <v>213</v>
      </c>
      <c r="D1721" s="472">
        <v>18.922000000000001</v>
      </c>
      <c r="E1721" s="522">
        <v>18.007000000000001</v>
      </c>
      <c r="F1721" s="523" t="s">
        <v>4166</v>
      </c>
      <c r="G1721" s="524" t="s">
        <v>3663</v>
      </c>
      <c r="H1721" s="525" t="s">
        <v>3666</v>
      </c>
      <c r="I1721" s="474"/>
      <c r="J1721" s="475" t="s">
        <v>5906</v>
      </c>
    </row>
    <row r="1722" spans="1:10" ht="14.25" customHeight="1">
      <c r="A1722" s="520" t="s">
        <v>2781</v>
      </c>
      <c r="B1722" s="521" t="s">
        <v>2782</v>
      </c>
      <c r="C1722" s="520" t="s">
        <v>213</v>
      </c>
      <c r="D1722" s="472">
        <v>56.920999999999999</v>
      </c>
      <c r="E1722" s="522">
        <v>54.164000000000001</v>
      </c>
      <c r="F1722" s="523" t="s">
        <v>4166</v>
      </c>
      <c r="G1722" s="524" t="s">
        <v>3663</v>
      </c>
      <c r="H1722" s="525" t="s">
        <v>3666</v>
      </c>
      <c r="I1722" s="474"/>
      <c r="J1722" s="475" t="s">
        <v>5907</v>
      </c>
    </row>
    <row r="1723" spans="1:10" ht="14.25" customHeight="1">
      <c r="A1723" s="528" t="s">
        <v>2783</v>
      </c>
      <c r="B1723" s="529" t="s">
        <v>2784</v>
      </c>
      <c r="C1723" s="528" t="s">
        <v>213</v>
      </c>
      <c r="D1723" s="472">
        <v>4.75</v>
      </c>
      <c r="E1723" s="522">
        <v>3.6459999999999999</v>
      </c>
      <c r="F1723" s="523" t="s">
        <v>4166</v>
      </c>
      <c r="G1723" s="524" t="s">
        <v>3663</v>
      </c>
      <c r="H1723" s="525" t="s">
        <v>3666</v>
      </c>
      <c r="I1723" s="474"/>
      <c r="J1723" s="475" t="s">
        <v>5908</v>
      </c>
    </row>
    <row r="1724" spans="1:10" ht="14.25" customHeight="1">
      <c r="A1724" s="520" t="s">
        <v>2785</v>
      </c>
      <c r="B1724" s="521" t="s">
        <v>2786</v>
      </c>
      <c r="C1724" s="520" t="s">
        <v>213</v>
      </c>
      <c r="D1724" s="472">
        <v>3.0779999999999998</v>
      </c>
      <c r="E1724" s="522">
        <v>2.93</v>
      </c>
      <c r="F1724" s="523" t="s">
        <v>4166</v>
      </c>
      <c r="G1724" s="526" t="s">
        <v>3668</v>
      </c>
      <c r="H1724" s="525" t="s">
        <v>3669</v>
      </c>
      <c r="I1724" s="474">
        <v>4016.93</v>
      </c>
      <c r="J1724" s="475" t="s">
        <v>5909</v>
      </c>
    </row>
    <row r="1725" spans="1:10" ht="14.25" customHeight="1">
      <c r="A1725" s="520" t="s">
        <v>2787</v>
      </c>
      <c r="B1725" s="521" t="s">
        <v>2788</v>
      </c>
      <c r="C1725" s="520" t="s">
        <v>213</v>
      </c>
      <c r="D1725" s="472">
        <v>23.658999999999999</v>
      </c>
      <c r="E1725" s="522">
        <v>22.055</v>
      </c>
      <c r="F1725" s="523" t="s">
        <v>4166</v>
      </c>
      <c r="G1725" s="524" t="s">
        <v>3663</v>
      </c>
      <c r="H1725" s="525" t="s">
        <v>3666</v>
      </c>
      <c r="I1725" s="474"/>
      <c r="J1725" s="475" t="s">
        <v>5910</v>
      </c>
    </row>
    <row r="1726" spans="1:10" ht="14.25" customHeight="1">
      <c r="A1726" s="520" t="s">
        <v>2789</v>
      </c>
      <c r="B1726" s="521" t="s">
        <v>2790</v>
      </c>
      <c r="C1726" s="520" t="s">
        <v>213</v>
      </c>
      <c r="D1726" s="472">
        <v>23.658999999999999</v>
      </c>
      <c r="E1726" s="522">
        <v>22.055</v>
      </c>
      <c r="F1726" s="523" t="s">
        <v>4166</v>
      </c>
      <c r="G1726" s="524" t="s">
        <v>3663</v>
      </c>
      <c r="H1726" s="525" t="s">
        <v>3666</v>
      </c>
      <c r="I1726" s="474"/>
      <c r="J1726" s="475" t="s">
        <v>5911</v>
      </c>
    </row>
    <row r="1727" spans="1:10" ht="14.25" customHeight="1">
      <c r="A1727" s="520" t="s">
        <v>2791</v>
      </c>
      <c r="B1727" s="521" t="s">
        <v>2792</v>
      </c>
      <c r="C1727" s="520" t="s">
        <v>213</v>
      </c>
      <c r="D1727" s="472">
        <v>23.658999999999999</v>
      </c>
      <c r="E1727" s="522">
        <v>22.055</v>
      </c>
      <c r="F1727" s="523" t="s">
        <v>4166</v>
      </c>
      <c r="G1727" s="524" t="s">
        <v>3663</v>
      </c>
      <c r="H1727" s="525" t="s">
        <v>3666</v>
      </c>
      <c r="I1727" s="474"/>
      <c r="J1727" s="475" t="s">
        <v>5912</v>
      </c>
    </row>
    <row r="1728" spans="1:10" ht="14.25" customHeight="1">
      <c r="A1728" s="528" t="s">
        <v>2793</v>
      </c>
      <c r="B1728" s="529" t="s">
        <v>2794</v>
      </c>
      <c r="C1728" s="528" t="s">
        <v>213</v>
      </c>
      <c r="D1728" s="472">
        <v>23.658999999999999</v>
      </c>
      <c r="E1728" s="522">
        <v>22.055</v>
      </c>
      <c r="F1728" s="523" t="s">
        <v>4166</v>
      </c>
      <c r="G1728" s="524" t="s">
        <v>3663</v>
      </c>
      <c r="H1728" s="525" t="s">
        <v>3666</v>
      </c>
      <c r="I1728" s="474"/>
      <c r="J1728" s="475" t="s">
        <v>5913</v>
      </c>
    </row>
    <row r="1729" spans="1:10" ht="14.25" customHeight="1">
      <c r="A1729" s="520" t="s">
        <v>2795</v>
      </c>
      <c r="B1729" s="521" t="s">
        <v>2796</v>
      </c>
      <c r="C1729" s="520" t="s">
        <v>213</v>
      </c>
      <c r="D1729" s="472">
        <v>23.658999999999999</v>
      </c>
      <c r="E1729" s="522">
        <v>22.055</v>
      </c>
      <c r="F1729" s="523" t="s">
        <v>4166</v>
      </c>
      <c r="G1729" s="524" t="s">
        <v>3663</v>
      </c>
      <c r="H1729" s="525" t="s">
        <v>3666</v>
      </c>
      <c r="I1729" s="474"/>
      <c r="J1729" s="475" t="s">
        <v>5914</v>
      </c>
    </row>
    <row r="1730" spans="1:10" ht="14.25" customHeight="1">
      <c r="A1730" s="528" t="s">
        <v>2797</v>
      </c>
      <c r="B1730" s="529" t="s">
        <v>2798</v>
      </c>
      <c r="C1730" s="528" t="s">
        <v>213</v>
      </c>
      <c r="D1730" s="472">
        <v>27.225999999999999</v>
      </c>
      <c r="E1730" s="522">
        <v>24.605</v>
      </c>
      <c r="F1730" s="523" t="s">
        <v>4166</v>
      </c>
      <c r="G1730" s="524" t="s">
        <v>3663</v>
      </c>
      <c r="H1730" s="525" t="s">
        <v>3666</v>
      </c>
      <c r="I1730" s="474"/>
      <c r="J1730" s="475" t="s">
        <v>5915</v>
      </c>
    </row>
    <row r="1731" spans="1:10" ht="14.25" customHeight="1">
      <c r="A1731" s="520" t="s">
        <v>2799</v>
      </c>
      <c r="B1731" s="521" t="s">
        <v>2800</v>
      </c>
      <c r="C1731" s="520" t="s">
        <v>213</v>
      </c>
      <c r="D1731" s="472">
        <v>25.341000000000001</v>
      </c>
      <c r="E1731" s="522">
        <v>23.628</v>
      </c>
      <c r="F1731" s="523" t="s">
        <v>4166</v>
      </c>
      <c r="G1731" s="524" t="s">
        <v>3663</v>
      </c>
      <c r="H1731" s="525" t="s">
        <v>3666</v>
      </c>
      <c r="I1731" s="474"/>
      <c r="J1731" s="475" t="s">
        <v>5916</v>
      </c>
    </row>
    <row r="1732" spans="1:10" ht="14.25" customHeight="1">
      <c r="A1732" s="520" t="s">
        <v>2801</v>
      </c>
      <c r="B1732" s="521" t="s">
        <v>2802</v>
      </c>
      <c r="C1732" s="520" t="s">
        <v>213</v>
      </c>
      <c r="D1732" s="472">
        <v>25.341000000000001</v>
      </c>
      <c r="E1732" s="522">
        <v>23.628</v>
      </c>
      <c r="F1732" s="523" t="s">
        <v>4166</v>
      </c>
      <c r="G1732" s="524" t="s">
        <v>3663</v>
      </c>
      <c r="H1732" s="525" t="s">
        <v>3666</v>
      </c>
      <c r="I1732" s="474"/>
      <c r="J1732" s="475" t="s">
        <v>5917</v>
      </c>
    </row>
    <row r="1733" spans="1:10" ht="14.25" customHeight="1">
      <c r="A1733" s="520" t="s">
        <v>2803</v>
      </c>
      <c r="B1733" s="521" t="s">
        <v>2804</v>
      </c>
      <c r="C1733" s="520" t="s">
        <v>213</v>
      </c>
      <c r="D1733" s="472">
        <v>25.341000000000001</v>
      </c>
      <c r="E1733" s="522">
        <v>23.628</v>
      </c>
      <c r="F1733" s="523" t="s">
        <v>4166</v>
      </c>
      <c r="G1733" s="524" t="s">
        <v>3663</v>
      </c>
      <c r="H1733" s="525" t="s">
        <v>3666</v>
      </c>
      <c r="I1733" s="474"/>
      <c r="J1733" s="475" t="s">
        <v>5918</v>
      </c>
    </row>
    <row r="1734" spans="1:10" ht="14.25" customHeight="1">
      <c r="A1734" s="520" t="s">
        <v>2805</v>
      </c>
      <c r="B1734" s="521" t="s">
        <v>2806</v>
      </c>
      <c r="C1734" s="520" t="s">
        <v>213</v>
      </c>
      <c r="D1734" s="472">
        <v>25.341000000000001</v>
      </c>
      <c r="E1734" s="522">
        <v>23.628</v>
      </c>
      <c r="F1734" s="523" t="s">
        <v>4166</v>
      </c>
      <c r="G1734" s="524" t="s">
        <v>3663</v>
      </c>
      <c r="H1734" s="525" t="s">
        <v>3666</v>
      </c>
      <c r="I1734" s="474"/>
      <c r="J1734" s="475" t="s">
        <v>5919</v>
      </c>
    </row>
    <row r="1735" spans="1:10" ht="14.25" customHeight="1">
      <c r="A1735" s="528" t="s">
        <v>2807</v>
      </c>
      <c r="B1735" s="529" t="s">
        <v>2808</v>
      </c>
      <c r="C1735" s="528" t="s">
        <v>213</v>
      </c>
      <c r="D1735" s="472">
        <v>25.341000000000001</v>
      </c>
      <c r="E1735" s="522">
        <v>23.628</v>
      </c>
      <c r="F1735" s="523" t="s">
        <v>4166</v>
      </c>
      <c r="G1735" s="524" t="s">
        <v>3663</v>
      </c>
      <c r="H1735" s="525" t="s">
        <v>3666</v>
      </c>
      <c r="I1735" s="474"/>
      <c r="J1735" s="475" t="s">
        <v>5920</v>
      </c>
    </row>
    <row r="1736" spans="1:10" ht="14.25" customHeight="1">
      <c r="A1736" s="520" t="s">
        <v>2809</v>
      </c>
      <c r="B1736" s="521" t="s">
        <v>2810</v>
      </c>
      <c r="C1736" s="520" t="s">
        <v>213</v>
      </c>
      <c r="D1736" s="472">
        <v>25.341000000000001</v>
      </c>
      <c r="E1736" s="522">
        <v>23.628</v>
      </c>
      <c r="F1736" s="523" t="s">
        <v>4166</v>
      </c>
      <c r="G1736" s="524" t="s">
        <v>3663</v>
      </c>
      <c r="H1736" s="525" t="s">
        <v>3666</v>
      </c>
      <c r="I1736" s="474"/>
      <c r="J1736" s="475" t="s">
        <v>5921</v>
      </c>
    </row>
    <row r="1737" spans="1:10" ht="14.25" customHeight="1">
      <c r="A1737" s="528" t="s">
        <v>2811</v>
      </c>
      <c r="B1737" s="529" t="s">
        <v>2812</v>
      </c>
      <c r="C1737" s="528" t="s">
        <v>213</v>
      </c>
      <c r="D1737" s="472">
        <v>28.911000000000001</v>
      </c>
      <c r="E1737" s="522">
        <v>26.177</v>
      </c>
      <c r="F1737" s="523" t="s">
        <v>4166</v>
      </c>
      <c r="G1737" s="524" t="s">
        <v>3663</v>
      </c>
      <c r="H1737" s="525" t="s">
        <v>3666</v>
      </c>
      <c r="I1737" s="474"/>
      <c r="J1737" s="475" t="s">
        <v>5922</v>
      </c>
    </row>
    <row r="1738" spans="1:10" ht="14.25" customHeight="1">
      <c r="A1738" s="577" t="s">
        <v>3432</v>
      </c>
      <c r="B1738" s="578" t="s">
        <v>3433</v>
      </c>
      <c r="C1738" s="577" t="s">
        <v>213</v>
      </c>
      <c r="D1738" s="472">
        <v>44.665999999999997</v>
      </c>
      <c r="E1738" s="522">
        <v>40.505000000000003</v>
      </c>
      <c r="F1738" s="523" t="s">
        <v>4166</v>
      </c>
      <c r="G1738" s="524" t="s">
        <v>3663</v>
      </c>
      <c r="H1738" s="525" t="s">
        <v>3666</v>
      </c>
      <c r="I1738" s="474"/>
      <c r="J1738" s="475" t="s">
        <v>5923</v>
      </c>
    </row>
    <row r="1739" spans="1:10" ht="14.25" customHeight="1">
      <c r="A1739" s="528" t="s">
        <v>3434</v>
      </c>
      <c r="B1739" s="529" t="s">
        <v>3435</v>
      </c>
      <c r="C1739" s="528" t="s">
        <v>213</v>
      </c>
      <c r="D1739" s="472">
        <v>48.234000000000002</v>
      </c>
      <c r="E1739" s="522">
        <v>44.381</v>
      </c>
      <c r="F1739" s="523" t="s">
        <v>4166</v>
      </c>
      <c r="G1739" s="524" t="s">
        <v>3663</v>
      </c>
      <c r="H1739" s="525" t="s">
        <v>3666</v>
      </c>
      <c r="I1739" s="474"/>
      <c r="J1739" s="475" t="s">
        <v>5924</v>
      </c>
    </row>
    <row r="1740" spans="1:10" ht="14.25" customHeight="1">
      <c r="A1740" s="520" t="s">
        <v>3436</v>
      </c>
      <c r="B1740" s="521" t="s">
        <v>3437</v>
      </c>
      <c r="C1740" s="520" t="s">
        <v>213</v>
      </c>
      <c r="D1740" s="472">
        <v>17.646000000000001</v>
      </c>
      <c r="E1740" s="522">
        <v>16.456</v>
      </c>
      <c r="F1740" s="523" t="s">
        <v>4166</v>
      </c>
      <c r="G1740" s="524" t="s">
        <v>3663</v>
      </c>
      <c r="H1740" s="525" t="s">
        <v>3666</v>
      </c>
      <c r="I1740" s="474"/>
      <c r="J1740" s="475" t="s">
        <v>5925</v>
      </c>
    </row>
    <row r="1741" spans="1:10" ht="14.25" customHeight="1">
      <c r="A1741" s="520" t="s">
        <v>2813</v>
      </c>
      <c r="B1741" s="521" t="s">
        <v>2814</v>
      </c>
      <c r="C1741" s="520" t="s">
        <v>213</v>
      </c>
      <c r="D1741" s="472">
        <v>17.646000000000001</v>
      </c>
      <c r="E1741" s="522">
        <v>16.456</v>
      </c>
      <c r="F1741" s="523" t="s">
        <v>4166</v>
      </c>
      <c r="G1741" s="524" t="s">
        <v>3663</v>
      </c>
      <c r="H1741" s="525" t="s">
        <v>3666</v>
      </c>
      <c r="I1741" s="474"/>
      <c r="J1741" s="475" t="s">
        <v>5926</v>
      </c>
    </row>
    <row r="1742" spans="1:10" ht="14.25" customHeight="1">
      <c r="A1742" s="520" t="s">
        <v>2815</v>
      </c>
      <c r="B1742" s="521" t="s">
        <v>2816</v>
      </c>
      <c r="C1742" s="520" t="s">
        <v>213</v>
      </c>
      <c r="D1742" s="472">
        <v>17.646000000000001</v>
      </c>
      <c r="E1742" s="522">
        <v>16.456</v>
      </c>
      <c r="F1742" s="523" t="s">
        <v>4166</v>
      </c>
      <c r="G1742" s="524" t="s">
        <v>3663</v>
      </c>
      <c r="H1742" s="525" t="s">
        <v>3666</v>
      </c>
      <c r="I1742" s="474"/>
      <c r="J1742" s="475" t="s">
        <v>5927</v>
      </c>
    </row>
    <row r="1743" spans="1:10" ht="14.25" customHeight="1">
      <c r="A1743" s="520" t="s">
        <v>2817</v>
      </c>
      <c r="B1743" s="521" t="s">
        <v>2818</v>
      </c>
      <c r="C1743" s="520" t="s">
        <v>213</v>
      </c>
      <c r="D1743" s="472">
        <v>17.646000000000001</v>
      </c>
      <c r="E1743" s="522">
        <v>16.456</v>
      </c>
      <c r="F1743" s="523" t="s">
        <v>4166</v>
      </c>
      <c r="G1743" s="524" t="s">
        <v>3663</v>
      </c>
      <c r="H1743" s="525" t="s">
        <v>3666</v>
      </c>
      <c r="I1743" s="474"/>
      <c r="J1743" s="475" t="s">
        <v>5928</v>
      </c>
    </row>
    <row r="1744" spans="1:10" ht="14.25" customHeight="1">
      <c r="A1744" s="528" t="s">
        <v>2819</v>
      </c>
      <c r="B1744" s="529" t="s">
        <v>2820</v>
      </c>
      <c r="C1744" s="528" t="s">
        <v>213</v>
      </c>
      <c r="D1744" s="472">
        <v>17.646000000000001</v>
      </c>
      <c r="E1744" s="522">
        <v>16.456</v>
      </c>
      <c r="F1744" s="523" t="s">
        <v>4166</v>
      </c>
      <c r="G1744" s="524" t="s">
        <v>3663</v>
      </c>
      <c r="H1744" s="525" t="s">
        <v>3666</v>
      </c>
      <c r="I1744" s="474"/>
      <c r="J1744" s="475" t="s">
        <v>5929</v>
      </c>
    </row>
    <row r="1745" spans="1:10" ht="14.25" customHeight="1">
      <c r="A1745" s="520" t="s">
        <v>2821</v>
      </c>
      <c r="B1745" s="521" t="s">
        <v>2822</v>
      </c>
      <c r="C1745" s="520" t="s">
        <v>213</v>
      </c>
      <c r="D1745" s="472">
        <v>17.646000000000001</v>
      </c>
      <c r="E1745" s="522">
        <v>16.456</v>
      </c>
      <c r="F1745" s="523" t="s">
        <v>4166</v>
      </c>
      <c r="G1745" s="524" t="s">
        <v>3663</v>
      </c>
      <c r="H1745" s="525" t="s">
        <v>3666</v>
      </c>
      <c r="I1745" s="474"/>
      <c r="J1745" s="475" t="s">
        <v>5930</v>
      </c>
    </row>
    <row r="1746" spans="1:10" ht="14.25" customHeight="1">
      <c r="A1746" s="528" t="s">
        <v>2823</v>
      </c>
      <c r="B1746" s="529" t="s">
        <v>2824</v>
      </c>
      <c r="C1746" s="528" t="s">
        <v>213</v>
      </c>
      <c r="D1746" s="472">
        <v>21.213000000000001</v>
      </c>
      <c r="E1746" s="522">
        <v>19.007999999999999</v>
      </c>
      <c r="F1746" s="523" t="s">
        <v>4166</v>
      </c>
      <c r="G1746" s="524" t="s">
        <v>3663</v>
      </c>
      <c r="H1746" s="525" t="s">
        <v>3666</v>
      </c>
      <c r="I1746" s="474"/>
      <c r="J1746" s="475" t="s">
        <v>5931</v>
      </c>
    </row>
    <row r="1747" spans="1:10" ht="14.25" customHeight="1">
      <c r="A1747" s="520" t="s">
        <v>3438</v>
      </c>
      <c r="B1747" s="521" t="s">
        <v>3439</v>
      </c>
      <c r="C1747" s="520" t="s">
        <v>213</v>
      </c>
      <c r="D1747" s="472">
        <v>29.016999999999999</v>
      </c>
      <c r="E1747" s="522">
        <v>27.167000000000002</v>
      </c>
      <c r="F1747" s="523" t="s">
        <v>4166</v>
      </c>
      <c r="G1747" s="524" t="s">
        <v>3663</v>
      </c>
      <c r="H1747" s="525" t="s">
        <v>3666</v>
      </c>
      <c r="I1747" s="474"/>
      <c r="J1747" s="475" t="s">
        <v>5932</v>
      </c>
    </row>
    <row r="1748" spans="1:10" ht="14.25" customHeight="1">
      <c r="A1748" s="520" t="s">
        <v>2825</v>
      </c>
      <c r="B1748" s="521" t="s">
        <v>2826</v>
      </c>
      <c r="C1748" s="520" t="s">
        <v>213</v>
      </c>
      <c r="D1748" s="472">
        <v>29.016999999999999</v>
      </c>
      <c r="E1748" s="522">
        <v>27.167000000000002</v>
      </c>
      <c r="F1748" s="523" t="s">
        <v>4166</v>
      </c>
      <c r="G1748" s="524" t="s">
        <v>3663</v>
      </c>
      <c r="H1748" s="525" t="s">
        <v>3666</v>
      </c>
      <c r="I1748" s="474"/>
      <c r="J1748" s="475" t="s">
        <v>5933</v>
      </c>
    </row>
    <row r="1749" spans="1:10" ht="14.25" customHeight="1">
      <c r="A1749" s="520" t="s">
        <v>2827</v>
      </c>
      <c r="B1749" s="521" t="s">
        <v>2828</v>
      </c>
      <c r="C1749" s="520" t="s">
        <v>213</v>
      </c>
      <c r="D1749" s="472">
        <v>29.016999999999999</v>
      </c>
      <c r="E1749" s="522">
        <v>27.167000000000002</v>
      </c>
      <c r="F1749" s="523" t="s">
        <v>4166</v>
      </c>
      <c r="G1749" s="524" t="s">
        <v>3663</v>
      </c>
      <c r="H1749" s="525" t="s">
        <v>3666</v>
      </c>
      <c r="I1749" s="474"/>
      <c r="J1749" s="475" t="s">
        <v>5934</v>
      </c>
    </row>
    <row r="1750" spans="1:10" ht="14.25" customHeight="1">
      <c r="A1750" s="520" t="s">
        <v>2829</v>
      </c>
      <c r="B1750" s="521" t="s">
        <v>2830</v>
      </c>
      <c r="C1750" s="520" t="s">
        <v>213</v>
      </c>
      <c r="D1750" s="472">
        <v>29.016999999999999</v>
      </c>
      <c r="E1750" s="522">
        <v>27.167000000000002</v>
      </c>
      <c r="F1750" s="523" t="s">
        <v>4166</v>
      </c>
      <c r="G1750" s="524" t="s">
        <v>3663</v>
      </c>
      <c r="H1750" s="525" t="s">
        <v>3666</v>
      </c>
      <c r="I1750" s="474"/>
      <c r="J1750" s="475" t="s">
        <v>5935</v>
      </c>
    </row>
    <row r="1751" spans="1:10" ht="14.25" customHeight="1">
      <c r="A1751" s="528" t="s">
        <v>2831</v>
      </c>
      <c r="B1751" s="529" t="s">
        <v>2832</v>
      </c>
      <c r="C1751" s="528" t="s">
        <v>213</v>
      </c>
      <c r="D1751" s="472">
        <v>29.016999999999999</v>
      </c>
      <c r="E1751" s="522">
        <v>27.167000000000002</v>
      </c>
      <c r="F1751" s="523" t="s">
        <v>4166</v>
      </c>
      <c r="G1751" s="524" t="s">
        <v>3663</v>
      </c>
      <c r="H1751" s="525" t="s">
        <v>3666</v>
      </c>
      <c r="I1751" s="474"/>
      <c r="J1751" s="475" t="s">
        <v>5936</v>
      </c>
    </row>
    <row r="1752" spans="1:10" ht="14.25" customHeight="1">
      <c r="A1752" s="528" t="s">
        <v>2833</v>
      </c>
      <c r="B1752" s="529" t="s">
        <v>2834</v>
      </c>
      <c r="C1752" s="528" t="s">
        <v>213</v>
      </c>
      <c r="D1752" s="472">
        <v>29.016999999999999</v>
      </c>
      <c r="E1752" s="522">
        <v>27.167000000000002</v>
      </c>
      <c r="F1752" s="523" t="s">
        <v>4166</v>
      </c>
      <c r="G1752" s="524" t="s">
        <v>3663</v>
      </c>
      <c r="H1752" s="525" t="s">
        <v>3666</v>
      </c>
      <c r="I1752" s="474"/>
      <c r="J1752" s="475" t="s">
        <v>5937</v>
      </c>
    </row>
    <row r="1753" spans="1:10" ht="14.25" customHeight="1">
      <c r="A1753" s="528" t="s">
        <v>2835</v>
      </c>
      <c r="B1753" s="529" t="s">
        <v>2836</v>
      </c>
      <c r="C1753" s="528" t="s">
        <v>213</v>
      </c>
      <c r="D1753" s="472">
        <v>32.585999999999999</v>
      </c>
      <c r="E1753" s="522">
        <v>29.716999999999999</v>
      </c>
      <c r="F1753" s="523" t="s">
        <v>4166</v>
      </c>
      <c r="G1753" s="524" t="s">
        <v>3663</v>
      </c>
      <c r="H1753" s="525" t="s">
        <v>3666</v>
      </c>
      <c r="I1753" s="474"/>
      <c r="J1753" s="475" t="s">
        <v>5938</v>
      </c>
    </row>
    <row r="1754" spans="1:10" ht="14.25" customHeight="1">
      <c r="A1754" s="520" t="s">
        <v>2837</v>
      </c>
      <c r="B1754" s="521" t="s">
        <v>2838</v>
      </c>
      <c r="C1754" s="520" t="s">
        <v>213</v>
      </c>
      <c r="D1754" s="472">
        <v>2.5790000000000002</v>
      </c>
      <c r="E1754" s="522">
        <v>2.9649999999999999</v>
      </c>
      <c r="F1754" s="523" t="s">
        <v>4166</v>
      </c>
      <c r="G1754" s="524" t="s">
        <v>3663</v>
      </c>
      <c r="H1754" s="525" t="s">
        <v>3666</v>
      </c>
      <c r="I1754" s="474"/>
      <c r="J1754" s="475" t="s">
        <v>5939</v>
      </c>
    </row>
    <row r="1755" spans="1:10" ht="14.25" customHeight="1">
      <c r="A1755" s="520" t="s">
        <v>2839</v>
      </c>
      <c r="B1755" s="521" t="s">
        <v>2840</v>
      </c>
      <c r="C1755" s="520" t="s">
        <v>213</v>
      </c>
      <c r="D1755" s="472">
        <v>2.8639999999999999</v>
      </c>
      <c r="E1755" s="522">
        <v>3.2949999999999999</v>
      </c>
      <c r="F1755" s="523" t="s">
        <v>4166</v>
      </c>
      <c r="G1755" s="524" t="s">
        <v>3663</v>
      </c>
      <c r="H1755" s="525" t="s">
        <v>3666</v>
      </c>
      <c r="I1755" s="474"/>
      <c r="J1755" s="475" t="s">
        <v>5940</v>
      </c>
    </row>
    <row r="1756" spans="1:10" ht="14.25" customHeight="1">
      <c r="A1756" s="520" t="s">
        <v>2841</v>
      </c>
      <c r="B1756" s="521" t="s">
        <v>2842</v>
      </c>
      <c r="C1756" s="520" t="s">
        <v>213</v>
      </c>
      <c r="D1756" s="472">
        <v>2.8639999999999999</v>
      </c>
      <c r="E1756" s="522">
        <v>3.2949999999999999</v>
      </c>
      <c r="F1756" s="523">
        <v>17.399999999999999</v>
      </c>
      <c r="G1756" s="524" t="s">
        <v>3663</v>
      </c>
      <c r="H1756" s="525" t="s">
        <v>3666</v>
      </c>
      <c r="I1756" s="474"/>
      <c r="J1756" s="475" t="s">
        <v>5941</v>
      </c>
    </row>
    <row r="1757" spans="1:10" ht="14.25" customHeight="1">
      <c r="A1757" s="564" t="s">
        <v>5942</v>
      </c>
      <c r="B1757" s="565" t="s">
        <v>5943</v>
      </c>
      <c r="C1757" s="564" t="s">
        <v>4701</v>
      </c>
      <c r="D1757" s="579">
        <v>9.2249999999999996</v>
      </c>
      <c r="E1757" s="580">
        <v>7.38</v>
      </c>
      <c r="F1757" s="523">
        <v>17.399999999999999</v>
      </c>
      <c r="G1757" s="524" t="s">
        <v>3663</v>
      </c>
      <c r="H1757" s="525" t="s">
        <v>3666</v>
      </c>
      <c r="I1757" s="474"/>
      <c r="J1757" s="475" t="s">
        <v>5941</v>
      </c>
    </row>
    <row r="1758" spans="1:10" ht="14.25" customHeight="1">
      <c r="A1758" s="564" t="s">
        <v>5944</v>
      </c>
      <c r="B1758" s="565" t="s">
        <v>5945</v>
      </c>
      <c r="C1758" s="564" t="s">
        <v>4701</v>
      </c>
      <c r="D1758" s="579">
        <v>2.13</v>
      </c>
      <c r="E1758" s="580">
        <v>1.704</v>
      </c>
      <c r="F1758" s="523">
        <v>17.399999999999999</v>
      </c>
      <c r="G1758" s="524" t="s">
        <v>3663</v>
      </c>
      <c r="H1758" s="525" t="s">
        <v>3666</v>
      </c>
      <c r="I1758" s="474"/>
      <c r="J1758" s="475" t="s">
        <v>5941</v>
      </c>
    </row>
    <row r="1759" spans="1:10" ht="14.25" customHeight="1">
      <c r="A1759" s="564" t="s">
        <v>5946</v>
      </c>
      <c r="B1759" s="565" t="s">
        <v>5947</v>
      </c>
      <c r="C1759" s="564" t="s">
        <v>4701</v>
      </c>
      <c r="D1759" s="579">
        <v>9.2249999999999996</v>
      </c>
      <c r="E1759" s="580">
        <v>7.38</v>
      </c>
      <c r="F1759" s="523">
        <v>17.399999999999999</v>
      </c>
      <c r="G1759" s="524" t="s">
        <v>3663</v>
      </c>
      <c r="H1759" s="525" t="s">
        <v>3666</v>
      </c>
      <c r="I1759" s="474"/>
      <c r="J1759" s="475" t="s">
        <v>5941</v>
      </c>
    </row>
    <row r="1760" spans="1:10" ht="14.25" customHeight="1">
      <c r="A1760" s="564" t="s">
        <v>5948</v>
      </c>
      <c r="B1760" s="565" t="s">
        <v>5949</v>
      </c>
      <c r="C1760" s="564" t="s">
        <v>4701</v>
      </c>
      <c r="D1760" s="579">
        <v>2.13</v>
      </c>
      <c r="E1760" s="580">
        <v>1.704</v>
      </c>
      <c r="F1760" s="523">
        <v>17.399999999999999</v>
      </c>
      <c r="G1760" s="524" t="s">
        <v>3663</v>
      </c>
      <c r="H1760" s="525" t="s">
        <v>3666</v>
      </c>
      <c r="I1760" s="474"/>
      <c r="J1760" s="475" t="s">
        <v>5941</v>
      </c>
    </row>
    <row r="1761" spans="1:10" ht="14.25" customHeight="1">
      <c r="A1761" s="564" t="s">
        <v>5950</v>
      </c>
      <c r="B1761" s="565" t="s">
        <v>5951</v>
      </c>
      <c r="C1761" s="564" t="s">
        <v>4701</v>
      </c>
      <c r="D1761" s="579">
        <v>9.2249999999999996</v>
      </c>
      <c r="E1761" s="580">
        <v>7.38</v>
      </c>
      <c r="F1761" s="523">
        <v>17.399999999999999</v>
      </c>
      <c r="G1761" s="524" t="s">
        <v>3663</v>
      </c>
      <c r="H1761" s="525" t="s">
        <v>3666</v>
      </c>
      <c r="I1761" s="474"/>
      <c r="J1761" s="475" t="s">
        <v>5941</v>
      </c>
    </row>
    <row r="1762" spans="1:10" ht="14.25" customHeight="1">
      <c r="A1762" s="520" t="s">
        <v>3440</v>
      </c>
      <c r="B1762" s="521" t="s">
        <v>3441</v>
      </c>
      <c r="C1762" s="520" t="s">
        <v>213</v>
      </c>
      <c r="D1762" s="472">
        <v>26.55</v>
      </c>
      <c r="E1762" s="522">
        <v>24.466000000000001</v>
      </c>
      <c r="F1762" s="523" t="s">
        <v>4166</v>
      </c>
      <c r="G1762" s="524" t="s">
        <v>3663</v>
      </c>
      <c r="H1762" s="525" t="s">
        <v>3666</v>
      </c>
      <c r="I1762" s="474"/>
      <c r="J1762" s="475" t="s">
        <v>5952</v>
      </c>
    </row>
    <row r="1763" spans="1:10" ht="14.25" customHeight="1">
      <c r="A1763" s="520" t="s">
        <v>2843</v>
      </c>
      <c r="B1763" s="521" t="s">
        <v>2844</v>
      </c>
      <c r="C1763" s="520" t="s">
        <v>213</v>
      </c>
      <c r="D1763" s="472">
        <v>13.18</v>
      </c>
      <c r="E1763" s="522">
        <v>12.137</v>
      </c>
      <c r="F1763" s="523" t="s">
        <v>4166</v>
      </c>
      <c r="G1763" s="524" t="s">
        <v>3663</v>
      </c>
      <c r="H1763" s="525" t="s">
        <v>3666</v>
      </c>
      <c r="I1763" s="474"/>
      <c r="J1763" s="475" t="s">
        <v>5953</v>
      </c>
    </row>
    <row r="1764" spans="1:10" ht="14.25" customHeight="1">
      <c r="A1764" s="520" t="s">
        <v>2845</v>
      </c>
      <c r="B1764" s="521" t="s">
        <v>2846</v>
      </c>
      <c r="C1764" s="520" t="s">
        <v>213</v>
      </c>
      <c r="D1764" s="472">
        <v>3.3279999999999998</v>
      </c>
      <c r="E1764" s="522">
        <v>3.0640000000000001</v>
      </c>
      <c r="F1764" s="523" t="s">
        <v>4166</v>
      </c>
      <c r="G1764" s="524" t="s">
        <v>3663</v>
      </c>
      <c r="H1764" s="525" t="s">
        <v>3666</v>
      </c>
      <c r="I1764" s="474"/>
      <c r="J1764" s="475" t="s">
        <v>5954</v>
      </c>
    </row>
    <row r="1765" spans="1:10" ht="14.25" customHeight="1">
      <c r="A1765" s="520" t="s">
        <v>2847</v>
      </c>
      <c r="B1765" s="521" t="s">
        <v>2848</v>
      </c>
      <c r="C1765" s="520" t="s">
        <v>213</v>
      </c>
      <c r="D1765" s="472">
        <v>3.899</v>
      </c>
      <c r="E1765" s="522">
        <v>3.5920000000000001</v>
      </c>
      <c r="F1765" s="523" t="s">
        <v>4166</v>
      </c>
      <c r="G1765" s="524" t="s">
        <v>3663</v>
      </c>
      <c r="H1765" s="525" t="s">
        <v>3666</v>
      </c>
      <c r="I1765" s="474"/>
      <c r="J1765" s="475" t="s">
        <v>5955</v>
      </c>
    </row>
    <row r="1766" spans="1:10" ht="14.25" customHeight="1">
      <c r="A1766" s="520" t="s">
        <v>2849</v>
      </c>
      <c r="B1766" s="521" t="s">
        <v>2850</v>
      </c>
      <c r="C1766" s="520" t="s">
        <v>213</v>
      </c>
      <c r="D1766" s="472">
        <v>1.5860000000000001</v>
      </c>
      <c r="E1766" s="522">
        <v>1.462</v>
      </c>
      <c r="F1766" s="523" t="s">
        <v>4166</v>
      </c>
      <c r="G1766" s="524" t="s">
        <v>3663</v>
      </c>
      <c r="H1766" s="525" t="s">
        <v>3666</v>
      </c>
      <c r="I1766" s="474"/>
      <c r="J1766" s="475" t="s">
        <v>5956</v>
      </c>
    </row>
    <row r="1767" spans="1:10" ht="14.25" customHeight="1">
      <c r="A1767" s="520" t="s">
        <v>2851</v>
      </c>
      <c r="B1767" s="521" t="s">
        <v>2852</v>
      </c>
      <c r="C1767" s="520" t="s">
        <v>213</v>
      </c>
      <c r="D1767" s="472">
        <v>0.20499999999999999</v>
      </c>
      <c r="E1767" s="522">
        <v>0.188</v>
      </c>
      <c r="F1767" s="523" t="s">
        <v>4166</v>
      </c>
      <c r="G1767" s="524"/>
      <c r="H1767" s="525" t="s">
        <v>3666</v>
      </c>
      <c r="I1767" s="474"/>
      <c r="J1767" s="475" t="s">
        <v>5957</v>
      </c>
    </row>
    <row r="1768" spans="1:10" ht="14.25" customHeight="1">
      <c r="A1768" s="581" t="s">
        <v>4092</v>
      </c>
      <c r="B1768" s="582" t="s">
        <v>5958</v>
      </c>
      <c r="C1768" s="581" t="s">
        <v>213</v>
      </c>
      <c r="D1768" s="472">
        <v>4.6790000000000003</v>
      </c>
      <c r="E1768" s="522">
        <v>4.3099999999999996</v>
      </c>
      <c r="F1768" s="523" t="s">
        <v>4166</v>
      </c>
      <c r="G1768" s="524" t="s">
        <v>3663</v>
      </c>
      <c r="H1768" s="525" t="s">
        <v>3666</v>
      </c>
      <c r="I1768" s="474"/>
      <c r="J1768" s="475" t="s">
        <v>5959</v>
      </c>
    </row>
    <row r="1769" spans="1:10" ht="14.25" customHeight="1">
      <c r="A1769" s="581" t="s">
        <v>4093</v>
      </c>
      <c r="B1769" s="582" t="s">
        <v>5960</v>
      </c>
      <c r="C1769" s="581" t="s">
        <v>213</v>
      </c>
      <c r="D1769" s="472">
        <v>4.9989999999999997</v>
      </c>
      <c r="E1769" s="522">
        <v>4.6079999999999997</v>
      </c>
      <c r="F1769" s="523" t="s">
        <v>4166</v>
      </c>
      <c r="G1769" s="524" t="s">
        <v>3663</v>
      </c>
      <c r="H1769" s="525" t="s">
        <v>3666</v>
      </c>
      <c r="I1769" s="474"/>
      <c r="J1769" s="475" t="s">
        <v>5961</v>
      </c>
    </row>
    <row r="1770" spans="1:10" ht="14.25" customHeight="1">
      <c r="A1770" s="581" t="s">
        <v>4094</v>
      </c>
      <c r="B1770" s="582" t="s">
        <v>5962</v>
      </c>
      <c r="C1770" s="581" t="s">
        <v>213</v>
      </c>
      <c r="D1770" s="472">
        <v>4.6790000000000003</v>
      </c>
      <c r="E1770" s="522">
        <v>4.3099999999999996</v>
      </c>
      <c r="F1770" s="523" t="s">
        <v>4166</v>
      </c>
      <c r="G1770" s="524" t="s">
        <v>3663</v>
      </c>
      <c r="H1770" s="525" t="s">
        <v>3666</v>
      </c>
      <c r="I1770" s="474"/>
      <c r="J1770" s="475" t="s">
        <v>5963</v>
      </c>
    </row>
    <row r="1771" spans="1:10" ht="14.25" customHeight="1">
      <c r="A1771" s="581" t="s">
        <v>4095</v>
      </c>
      <c r="B1771" s="582" t="s">
        <v>5964</v>
      </c>
      <c r="C1771" s="581" t="s">
        <v>213</v>
      </c>
      <c r="D1771" s="472">
        <v>4.9989999999999997</v>
      </c>
      <c r="E1771" s="522">
        <v>4.6079999999999997</v>
      </c>
      <c r="F1771" s="523" t="s">
        <v>4166</v>
      </c>
      <c r="G1771" s="524" t="s">
        <v>3663</v>
      </c>
      <c r="H1771" s="525" t="s">
        <v>3666</v>
      </c>
      <c r="I1771" s="474"/>
      <c r="J1771" s="475" t="s">
        <v>5965</v>
      </c>
    </row>
    <row r="1772" spans="1:10" ht="14.25" customHeight="1">
      <c r="A1772" s="520" t="s">
        <v>2853</v>
      </c>
      <c r="B1772" s="521" t="s">
        <v>2854</v>
      </c>
      <c r="C1772" s="520" t="s">
        <v>213</v>
      </c>
      <c r="D1772" s="472">
        <v>26.55</v>
      </c>
      <c r="E1772" s="522">
        <v>24.466000000000001</v>
      </c>
      <c r="F1772" s="523" t="s">
        <v>4166</v>
      </c>
      <c r="G1772" s="524" t="s">
        <v>3663</v>
      </c>
      <c r="H1772" s="525" t="s">
        <v>3666</v>
      </c>
      <c r="I1772" s="474"/>
      <c r="J1772" s="475" t="s">
        <v>5966</v>
      </c>
    </row>
    <row r="1773" spans="1:10" ht="14.25" customHeight="1">
      <c r="A1773" s="520" t="s">
        <v>2855</v>
      </c>
      <c r="B1773" s="521" t="s">
        <v>2856</v>
      </c>
      <c r="C1773" s="520" t="s">
        <v>213</v>
      </c>
      <c r="D1773" s="472">
        <v>26.55</v>
      </c>
      <c r="E1773" s="522">
        <v>24.466000000000001</v>
      </c>
      <c r="F1773" s="523" t="s">
        <v>4166</v>
      </c>
      <c r="G1773" s="524" t="s">
        <v>3663</v>
      </c>
      <c r="H1773" s="525" t="s">
        <v>3666</v>
      </c>
      <c r="I1773" s="474"/>
      <c r="J1773" s="475" t="s">
        <v>5967</v>
      </c>
    </row>
    <row r="1774" spans="1:10" ht="14.25" customHeight="1">
      <c r="A1774" s="520" t="s">
        <v>2857</v>
      </c>
      <c r="B1774" s="521" t="s">
        <v>2858</v>
      </c>
      <c r="C1774" s="520" t="s">
        <v>213</v>
      </c>
      <c r="D1774" s="472">
        <v>26.55</v>
      </c>
      <c r="E1774" s="522">
        <v>24.466000000000001</v>
      </c>
      <c r="F1774" s="523" t="s">
        <v>4166</v>
      </c>
      <c r="G1774" s="524" t="s">
        <v>3663</v>
      </c>
      <c r="H1774" s="525" t="s">
        <v>3666</v>
      </c>
      <c r="I1774" s="474"/>
      <c r="J1774" s="475" t="s">
        <v>5968</v>
      </c>
    </row>
    <row r="1775" spans="1:10" ht="14.25" customHeight="1">
      <c r="A1775" s="528" t="s">
        <v>2859</v>
      </c>
      <c r="B1775" s="529" t="s">
        <v>2860</v>
      </c>
      <c r="C1775" s="528" t="s">
        <v>213</v>
      </c>
      <c r="D1775" s="472">
        <v>26.55</v>
      </c>
      <c r="E1775" s="522">
        <v>24.466000000000001</v>
      </c>
      <c r="F1775" s="523" t="s">
        <v>4166</v>
      </c>
      <c r="G1775" s="524" t="s">
        <v>3663</v>
      </c>
      <c r="H1775" s="525" t="s">
        <v>3666</v>
      </c>
      <c r="I1775" s="474"/>
      <c r="J1775" s="475" t="s">
        <v>5969</v>
      </c>
    </row>
    <row r="1776" spans="1:10" ht="14.25" customHeight="1">
      <c r="A1776" s="520" t="s">
        <v>2861</v>
      </c>
      <c r="B1776" s="521" t="s">
        <v>2862</v>
      </c>
      <c r="C1776" s="520" t="s">
        <v>213</v>
      </c>
      <c r="D1776" s="472">
        <v>26.55</v>
      </c>
      <c r="E1776" s="522">
        <v>24.466000000000001</v>
      </c>
      <c r="F1776" s="523" t="s">
        <v>4166</v>
      </c>
      <c r="G1776" s="524" t="s">
        <v>3663</v>
      </c>
      <c r="H1776" s="525" t="s">
        <v>3666</v>
      </c>
      <c r="I1776" s="474"/>
      <c r="J1776" s="475" t="s">
        <v>5970</v>
      </c>
    </row>
    <row r="1777" spans="1:10" ht="14.25" customHeight="1">
      <c r="A1777" s="528" t="s">
        <v>2863</v>
      </c>
      <c r="B1777" s="529" t="s">
        <v>2864</v>
      </c>
      <c r="C1777" s="528" t="s">
        <v>213</v>
      </c>
      <c r="D1777" s="472">
        <v>30.119</v>
      </c>
      <c r="E1777" s="522">
        <v>27.018000000000001</v>
      </c>
      <c r="F1777" s="523" t="s">
        <v>4166</v>
      </c>
      <c r="G1777" s="524" t="s">
        <v>3663</v>
      </c>
      <c r="H1777" s="525" t="s">
        <v>3666</v>
      </c>
      <c r="I1777" s="474"/>
      <c r="J1777" s="475" t="s">
        <v>5971</v>
      </c>
    </row>
    <row r="1778" spans="1:10" ht="14.25" customHeight="1">
      <c r="A1778" s="520" t="s">
        <v>3442</v>
      </c>
      <c r="B1778" s="521" t="s">
        <v>3443</v>
      </c>
      <c r="C1778" s="520" t="s">
        <v>213</v>
      </c>
      <c r="D1778" s="472">
        <v>28.234000000000002</v>
      </c>
      <c r="E1778" s="522">
        <v>26.03</v>
      </c>
      <c r="F1778" s="523" t="s">
        <v>4166</v>
      </c>
      <c r="G1778" s="524" t="s">
        <v>3663</v>
      </c>
      <c r="H1778" s="525" t="s">
        <v>3666</v>
      </c>
      <c r="I1778" s="474"/>
      <c r="J1778" s="475" t="s">
        <v>5972</v>
      </c>
    </row>
    <row r="1779" spans="1:10" ht="14.25" customHeight="1">
      <c r="A1779" s="520" t="s">
        <v>2865</v>
      </c>
      <c r="B1779" s="521" t="s">
        <v>2866</v>
      </c>
      <c r="C1779" s="520" t="s">
        <v>213</v>
      </c>
      <c r="D1779" s="472">
        <v>28.234000000000002</v>
      </c>
      <c r="E1779" s="522">
        <v>26.03</v>
      </c>
      <c r="F1779" s="523" t="s">
        <v>4166</v>
      </c>
      <c r="G1779" s="524" t="s">
        <v>3663</v>
      </c>
      <c r="H1779" s="525" t="s">
        <v>3666</v>
      </c>
      <c r="I1779" s="474"/>
      <c r="J1779" s="475" t="s">
        <v>5973</v>
      </c>
    </row>
    <row r="1780" spans="1:10" ht="14.25" customHeight="1">
      <c r="A1780" s="520" t="s">
        <v>2867</v>
      </c>
      <c r="B1780" s="521" t="s">
        <v>2868</v>
      </c>
      <c r="C1780" s="520" t="s">
        <v>213</v>
      </c>
      <c r="D1780" s="472">
        <v>28.234000000000002</v>
      </c>
      <c r="E1780" s="522">
        <v>26.03</v>
      </c>
      <c r="F1780" s="523" t="s">
        <v>4166</v>
      </c>
      <c r="G1780" s="524" t="s">
        <v>3663</v>
      </c>
      <c r="H1780" s="525" t="s">
        <v>3666</v>
      </c>
      <c r="I1780" s="474"/>
      <c r="J1780" s="475" t="s">
        <v>5974</v>
      </c>
    </row>
    <row r="1781" spans="1:10" ht="14.25" customHeight="1">
      <c r="A1781" s="520" t="s">
        <v>2869</v>
      </c>
      <c r="B1781" s="521" t="s">
        <v>2870</v>
      </c>
      <c r="C1781" s="520" t="s">
        <v>213</v>
      </c>
      <c r="D1781" s="472">
        <v>28.234000000000002</v>
      </c>
      <c r="E1781" s="522">
        <v>26.03</v>
      </c>
      <c r="F1781" s="523" t="s">
        <v>4166</v>
      </c>
      <c r="G1781" s="524" t="s">
        <v>3663</v>
      </c>
      <c r="H1781" s="525" t="s">
        <v>3666</v>
      </c>
      <c r="I1781" s="474"/>
      <c r="J1781" s="475" t="s">
        <v>5975</v>
      </c>
    </row>
    <row r="1782" spans="1:10" ht="14.25" customHeight="1">
      <c r="A1782" s="528" t="s">
        <v>2871</v>
      </c>
      <c r="B1782" s="529" t="s">
        <v>2872</v>
      </c>
      <c r="C1782" s="528" t="s">
        <v>213</v>
      </c>
      <c r="D1782" s="472">
        <v>28.234000000000002</v>
      </c>
      <c r="E1782" s="522">
        <v>26.03</v>
      </c>
      <c r="F1782" s="523" t="s">
        <v>4166</v>
      </c>
      <c r="G1782" s="524" t="s">
        <v>3663</v>
      </c>
      <c r="H1782" s="525" t="s">
        <v>3666</v>
      </c>
      <c r="I1782" s="474"/>
      <c r="J1782" s="475" t="s">
        <v>5976</v>
      </c>
    </row>
    <row r="1783" spans="1:10" ht="14.25" customHeight="1">
      <c r="A1783" s="520" t="s">
        <v>2873</v>
      </c>
      <c r="B1783" s="521" t="s">
        <v>2874</v>
      </c>
      <c r="C1783" s="520" t="s">
        <v>213</v>
      </c>
      <c r="D1783" s="472">
        <v>28.234000000000002</v>
      </c>
      <c r="E1783" s="522">
        <v>26.03</v>
      </c>
      <c r="F1783" s="523" t="s">
        <v>4166</v>
      </c>
      <c r="G1783" s="524" t="s">
        <v>3663</v>
      </c>
      <c r="H1783" s="525" t="s">
        <v>3666</v>
      </c>
      <c r="I1783" s="474"/>
      <c r="J1783" s="475" t="s">
        <v>5977</v>
      </c>
    </row>
    <row r="1784" spans="1:10" ht="14.25" customHeight="1">
      <c r="A1784" s="528" t="s">
        <v>2875</v>
      </c>
      <c r="B1784" s="529" t="s">
        <v>2876</v>
      </c>
      <c r="C1784" s="528" t="s">
        <v>213</v>
      </c>
      <c r="D1784" s="472">
        <v>31.803000000000001</v>
      </c>
      <c r="E1784" s="522">
        <v>28.58</v>
      </c>
      <c r="F1784" s="523" t="s">
        <v>4166</v>
      </c>
      <c r="G1784" s="524" t="s">
        <v>3663</v>
      </c>
      <c r="H1784" s="525" t="s">
        <v>3666</v>
      </c>
      <c r="I1784" s="474"/>
      <c r="J1784" s="475" t="s">
        <v>5978</v>
      </c>
    </row>
    <row r="1785" spans="1:10" ht="14.25" customHeight="1">
      <c r="A1785" s="520" t="s">
        <v>3444</v>
      </c>
      <c r="B1785" s="521" t="s">
        <v>3445</v>
      </c>
      <c r="C1785" s="520" t="s">
        <v>213</v>
      </c>
      <c r="D1785" s="472">
        <v>20.538</v>
      </c>
      <c r="E1785" s="522">
        <v>18.86</v>
      </c>
      <c r="F1785" s="523" t="s">
        <v>4166</v>
      </c>
      <c r="G1785" s="524" t="s">
        <v>3663</v>
      </c>
      <c r="H1785" s="525" t="s">
        <v>3666</v>
      </c>
      <c r="I1785" s="474"/>
      <c r="J1785" s="475" t="s">
        <v>5979</v>
      </c>
    </row>
    <row r="1786" spans="1:10" ht="14.25" customHeight="1">
      <c r="A1786" s="520" t="s">
        <v>2877</v>
      </c>
      <c r="B1786" s="521" t="s">
        <v>2878</v>
      </c>
      <c r="C1786" s="520" t="s">
        <v>213</v>
      </c>
      <c r="D1786" s="472">
        <v>20.538</v>
      </c>
      <c r="E1786" s="522">
        <v>18.86</v>
      </c>
      <c r="F1786" s="523" t="s">
        <v>4166</v>
      </c>
      <c r="G1786" s="524" t="s">
        <v>3663</v>
      </c>
      <c r="H1786" s="525" t="s">
        <v>3666</v>
      </c>
      <c r="I1786" s="474"/>
      <c r="J1786" s="475" t="s">
        <v>5980</v>
      </c>
    </row>
    <row r="1787" spans="1:10" ht="14.25" customHeight="1">
      <c r="A1787" s="520" t="s">
        <v>2879</v>
      </c>
      <c r="B1787" s="521" t="s">
        <v>2880</v>
      </c>
      <c r="C1787" s="520" t="s">
        <v>213</v>
      </c>
      <c r="D1787" s="472">
        <v>20.538</v>
      </c>
      <c r="E1787" s="522">
        <v>18.86</v>
      </c>
      <c r="F1787" s="523" t="s">
        <v>4166</v>
      </c>
      <c r="G1787" s="524" t="s">
        <v>3663</v>
      </c>
      <c r="H1787" s="525" t="s">
        <v>3666</v>
      </c>
      <c r="I1787" s="474"/>
      <c r="J1787" s="475" t="s">
        <v>5981</v>
      </c>
    </row>
    <row r="1788" spans="1:10" ht="14.25" customHeight="1">
      <c r="A1788" s="520" t="s">
        <v>2881</v>
      </c>
      <c r="B1788" s="521" t="s">
        <v>2882</v>
      </c>
      <c r="C1788" s="520" t="s">
        <v>213</v>
      </c>
      <c r="D1788" s="472">
        <v>20.538</v>
      </c>
      <c r="E1788" s="522">
        <v>18.86</v>
      </c>
      <c r="F1788" s="523" t="s">
        <v>4166</v>
      </c>
      <c r="G1788" s="524" t="s">
        <v>3663</v>
      </c>
      <c r="H1788" s="525" t="s">
        <v>3666</v>
      </c>
      <c r="I1788" s="474"/>
      <c r="J1788" s="475" t="s">
        <v>5982</v>
      </c>
    </row>
    <row r="1789" spans="1:10" ht="14.25" customHeight="1">
      <c r="A1789" s="528" t="s">
        <v>2883</v>
      </c>
      <c r="B1789" s="529" t="s">
        <v>2884</v>
      </c>
      <c r="C1789" s="528" t="s">
        <v>213</v>
      </c>
      <c r="D1789" s="472">
        <v>20.538</v>
      </c>
      <c r="E1789" s="522">
        <v>18.86</v>
      </c>
      <c r="F1789" s="523" t="s">
        <v>4166</v>
      </c>
      <c r="G1789" s="524" t="s">
        <v>3663</v>
      </c>
      <c r="H1789" s="525" t="s">
        <v>3666</v>
      </c>
      <c r="I1789" s="474"/>
      <c r="J1789" s="475" t="s">
        <v>5983</v>
      </c>
    </row>
    <row r="1790" spans="1:10" ht="14.25" customHeight="1">
      <c r="A1790" s="520" t="s">
        <v>2885</v>
      </c>
      <c r="B1790" s="521" t="s">
        <v>2886</v>
      </c>
      <c r="C1790" s="520" t="s">
        <v>213</v>
      </c>
      <c r="D1790" s="472">
        <v>20.538</v>
      </c>
      <c r="E1790" s="522">
        <v>18.86</v>
      </c>
      <c r="F1790" s="523" t="s">
        <v>4166</v>
      </c>
      <c r="G1790" s="524" t="s">
        <v>3663</v>
      </c>
      <c r="H1790" s="525" t="s">
        <v>3666</v>
      </c>
      <c r="I1790" s="474"/>
      <c r="J1790" s="475" t="s">
        <v>5984</v>
      </c>
    </row>
    <row r="1791" spans="1:10" ht="14.25" customHeight="1">
      <c r="A1791" s="528" t="s">
        <v>2887</v>
      </c>
      <c r="B1791" s="529" t="s">
        <v>2888</v>
      </c>
      <c r="C1791" s="528" t="s">
        <v>213</v>
      </c>
      <c r="D1791" s="472">
        <v>24.106000000000002</v>
      </c>
      <c r="E1791" s="522">
        <v>21.411000000000001</v>
      </c>
      <c r="F1791" s="523" t="s">
        <v>4166</v>
      </c>
      <c r="G1791" s="524" t="s">
        <v>3663</v>
      </c>
      <c r="H1791" s="525" t="s">
        <v>3666</v>
      </c>
      <c r="I1791" s="474"/>
      <c r="J1791" s="475" t="s">
        <v>5985</v>
      </c>
    </row>
    <row r="1792" spans="1:10" ht="14.25" customHeight="1">
      <c r="A1792" s="520" t="s">
        <v>3446</v>
      </c>
      <c r="B1792" s="521" t="s">
        <v>3447</v>
      </c>
      <c r="C1792" s="520" t="s">
        <v>213</v>
      </c>
      <c r="D1792" s="472">
        <v>31.91</v>
      </c>
      <c r="E1792" s="522">
        <v>29.568999999999999</v>
      </c>
      <c r="F1792" s="523" t="s">
        <v>4166</v>
      </c>
      <c r="G1792" s="524" t="s">
        <v>3663</v>
      </c>
      <c r="H1792" s="525" t="s">
        <v>3666</v>
      </c>
      <c r="I1792" s="474"/>
      <c r="J1792" s="475" t="s">
        <v>5986</v>
      </c>
    </row>
    <row r="1793" spans="1:10" ht="14.25" customHeight="1">
      <c r="A1793" s="520" t="s">
        <v>2889</v>
      </c>
      <c r="B1793" s="521" t="s">
        <v>2890</v>
      </c>
      <c r="C1793" s="520" t="s">
        <v>213</v>
      </c>
      <c r="D1793" s="472">
        <v>31.91</v>
      </c>
      <c r="E1793" s="522">
        <v>29.568999999999999</v>
      </c>
      <c r="F1793" s="523" t="s">
        <v>4166</v>
      </c>
      <c r="G1793" s="524" t="s">
        <v>3663</v>
      </c>
      <c r="H1793" s="525" t="s">
        <v>3666</v>
      </c>
      <c r="I1793" s="474"/>
      <c r="J1793" s="475" t="s">
        <v>5987</v>
      </c>
    </row>
    <row r="1794" spans="1:10" ht="14.25" customHeight="1">
      <c r="A1794" s="520" t="s">
        <v>2891</v>
      </c>
      <c r="B1794" s="521" t="s">
        <v>2892</v>
      </c>
      <c r="C1794" s="520" t="s">
        <v>213</v>
      </c>
      <c r="D1794" s="472">
        <v>31.91</v>
      </c>
      <c r="E1794" s="522">
        <v>29.568999999999999</v>
      </c>
      <c r="F1794" s="523" t="s">
        <v>4166</v>
      </c>
      <c r="G1794" s="524" t="s">
        <v>3663</v>
      </c>
      <c r="H1794" s="525" t="s">
        <v>3666</v>
      </c>
      <c r="I1794" s="474"/>
      <c r="J1794" s="475" t="s">
        <v>5988</v>
      </c>
    </row>
    <row r="1795" spans="1:10" ht="14.25" customHeight="1">
      <c r="A1795" s="520" t="s">
        <v>2893</v>
      </c>
      <c r="B1795" s="521" t="s">
        <v>2894</v>
      </c>
      <c r="C1795" s="520" t="s">
        <v>213</v>
      </c>
      <c r="D1795" s="472">
        <v>31.91</v>
      </c>
      <c r="E1795" s="522">
        <v>29.568999999999999</v>
      </c>
      <c r="F1795" s="523" t="s">
        <v>4166</v>
      </c>
      <c r="G1795" s="524" t="s">
        <v>3663</v>
      </c>
      <c r="H1795" s="525" t="s">
        <v>3666</v>
      </c>
      <c r="I1795" s="474"/>
      <c r="J1795" s="475" t="s">
        <v>5989</v>
      </c>
    </row>
    <row r="1796" spans="1:10" ht="14.25" customHeight="1">
      <c r="A1796" s="528" t="s">
        <v>2895</v>
      </c>
      <c r="B1796" s="529" t="s">
        <v>2896</v>
      </c>
      <c r="C1796" s="528" t="s">
        <v>213</v>
      </c>
      <c r="D1796" s="472">
        <v>35.478000000000002</v>
      </c>
      <c r="E1796" s="522">
        <v>32.119</v>
      </c>
      <c r="F1796" s="523" t="s">
        <v>4166</v>
      </c>
      <c r="G1796" s="524" t="s">
        <v>3663</v>
      </c>
      <c r="H1796" s="525" t="s">
        <v>3666</v>
      </c>
      <c r="I1796" s="474"/>
      <c r="J1796" s="475" t="s">
        <v>5990</v>
      </c>
    </row>
    <row r="1797" spans="1:10" ht="14.25" customHeight="1">
      <c r="A1797" s="520" t="s">
        <v>2897</v>
      </c>
      <c r="B1797" s="521" t="s">
        <v>2898</v>
      </c>
      <c r="C1797" s="520" t="s">
        <v>213</v>
      </c>
      <c r="D1797" s="472">
        <v>127.355</v>
      </c>
      <c r="E1797" s="522">
        <v>115.97499999999999</v>
      </c>
      <c r="F1797" s="523">
        <v>348.40000000000003</v>
      </c>
      <c r="G1797" s="524" t="s">
        <v>3663</v>
      </c>
      <c r="H1797" s="525" t="s">
        <v>3666</v>
      </c>
      <c r="I1797" s="474"/>
      <c r="J1797" s="475" t="s">
        <v>5991</v>
      </c>
    </row>
    <row r="1798" spans="1:10" ht="14.25" customHeight="1">
      <c r="A1798" s="520" t="s">
        <v>2899</v>
      </c>
      <c r="B1798" s="521" t="s">
        <v>2900</v>
      </c>
      <c r="C1798" s="520" t="s">
        <v>213</v>
      </c>
      <c r="D1798" s="472">
        <v>151.41900000000001</v>
      </c>
      <c r="E1798" s="522">
        <v>137.88900000000001</v>
      </c>
      <c r="F1798" s="523">
        <v>633.73333333333335</v>
      </c>
      <c r="G1798" s="524" t="s">
        <v>3663</v>
      </c>
      <c r="H1798" s="525" t="s">
        <v>3666</v>
      </c>
      <c r="I1798" s="474"/>
      <c r="J1798" s="475" t="s">
        <v>5992</v>
      </c>
    </row>
    <row r="1799" spans="1:10" ht="14.25" customHeight="1">
      <c r="A1799" s="520" t="s">
        <v>2901</v>
      </c>
      <c r="B1799" s="521" t="s">
        <v>2902</v>
      </c>
      <c r="C1799" s="520" t="s">
        <v>213</v>
      </c>
      <c r="D1799" s="472">
        <v>175.48400000000001</v>
      </c>
      <c r="E1799" s="522">
        <v>159.803</v>
      </c>
      <c r="F1799" s="523">
        <v>919.06666666666672</v>
      </c>
      <c r="G1799" s="524" t="s">
        <v>3663</v>
      </c>
      <c r="H1799" s="525" t="s">
        <v>3666</v>
      </c>
      <c r="I1799" s="474"/>
      <c r="J1799" s="475" t="s">
        <v>5993</v>
      </c>
    </row>
    <row r="1800" spans="1:10" ht="14.25" customHeight="1">
      <c r="A1800" s="520" t="s">
        <v>2903</v>
      </c>
      <c r="B1800" s="521" t="s">
        <v>2904</v>
      </c>
      <c r="C1800" s="520" t="s">
        <v>213</v>
      </c>
      <c r="D1800" s="472">
        <v>199.548</v>
      </c>
      <c r="E1800" s="522">
        <v>181.71799999999999</v>
      </c>
      <c r="F1800" s="523">
        <v>1204.4000000000001</v>
      </c>
      <c r="G1800" s="524" t="s">
        <v>3663</v>
      </c>
      <c r="H1800" s="525" t="s">
        <v>3666</v>
      </c>
      <c r="I1800" s="474"/>
      <c r="J1800" s="475" t="s">
        <v>5994</v>
      </c>
    </row>
    <row r="1801" spans="1:10" ht="14.25" customHeight="1">
      <c r="A1801" s="520" t="s">
        <v>2905</v>
      </c>
      <c r="B1801" s="521" t="s">
        <v>2906</v>
      </c>
      <c r="C1801" s="520" t="s">
        <v>213</v>
      </c>
      <c r="D1801" s="472">
        <v>223.613</v>
      </c>
      <c r="E1801" s="522">
        <v>203.631</v>
      </c>
      <c r="F1801" s="523">
        <v>1489.7333333333333</v>
      </c>
      <c r="G1801" s="524" t="s">
        <v>3663</v>
      </c>
      <c r="H1801" s="525" t="s">
        <v>3666</v>
      </c>
      <c r="I1801" s="474"/>
      <c r="J1801" s="475" t="s">
        <v>5995</v>
      </c>
    </row>
    <row r="1802" spans="1:10" ht="14.25" customHeight="1">
      <c r="A1802" s="520" t="s">
        <v>2907</v>
      </c>
      <c r="B1802" s="521" t="s">
        <v>2908</v>
      </c>
      <c r="C1802" s="520" t="s">
        <v>213</v>
      </c>
      <c r="D1802" s="472">
        <v>247.678</v>
      </c>
      <c r="E1802" s="522">
        <v>225.54599999999999</v>
      </c>
      <c r="F1802" s="523">
        <v>1775.0666666666668</v>
      </c>
      <c r="G1802" s="524" t="s">
        <v>3663</v>
      </c>
      <c r="H1802" s="525" t="s">
        <v>3666</v>
      </c>
      <c r="I1802" s="474"/>
      <c r="J1802" s="475" t="s">
        <v>5996</v>
      </c>
    </row>
    <row r="1803" spans="1:10" ht="14.25" customHeight="1">
      <c r="A1803" s="520" t="s">
        <v>2909</v>
      </c>
      <c r="B1803" s="521" t="s">
        <v>2910</v>
      </c>
      <c r="C1803" s="520" t="s">
        <v>213</v>
      </c>
      <c r="D1803" s="472">
        <v>271.74099999999999</v>
      </c>
      <c r="E1803" s="522">
        <v>247.46</v>
      </c>
      <c r="F1803" s="523">
        <v>2060.4</v>
      </c>
      <c r="G1803" s="524" t="s">
        <v>3663</v>
      </c>
      <c r="H1803" s="525" t="s">
        <v>3666</v>
      </c>
      <c r="I1803" s="474"/>
      <c r="J1803" s="475" t="s">
        <v>5997</v>
      </c>
    </row>
    <row r="1804" spans="1:10" ht="14.25" customHeight="1">
      <c r="A1804" s="520" t="s">
        <v>2911</v>
      </c>
      <c r="B1804" s="521" t="s">
        <v>2912</v>
      </c>
      <c r="C1804" s="520" t="s">
        <v>213</v>
      </c>
      <c r="D1804" s="472">
        <v>295.80599999999998</v>
      </c>
      <c r="E1804" s="522">
        <v>269.37299999999999</v>
      </c>
      <c r="F1804" s="523">
        <v>2345.7333333333336</v>
      </c>
      <c r="G1804" s="524" t="s">
        <v>3663</v>
      </c>
      <c r="H1804" s="525" t="s">
        <v>3666</v>
      </c>
      <c r="I1804" s="474"/>
      <c r="J1804" s="475" t="s">
        <v>5998</v>
      </c>
    </row>
    <row r="1805" spans="1:10" ht="14.25" customHeight="1">
      <c r="A1805" s="520" t="s">
        <v>2913</v>
      </c>
      <c r="B1805" s="521" t="s">
        <v>2914</v>
      </c>
      <c r="C1805" s="520" t="s">
        <v>213</v>
      </c>
      <c r="D1805" s="472">
        <v>319.87</v>
      </c>
      <c r="E1805" s="522">
        <v>291.28800000000001</v>
      </c>
      <c r="F1805" s="523">
        <v>2631.0666666666666</v>
      </c>
      <c r="G1805" s="524" t="s">
        <v>3663</v>
      </c>
      <c r="H1805" s="525" t="s">
        <v>3666</v>
      </c>
      <c r="I1805" s="474"/>
      <c r="J1805" s="475" t="s">
        <v>5999</v>
      </c>
    </row>
    <row r="1806" spans="1:10" ht="14.25" customHeight="1">
      <c r="A1806" s="520" t="s">
        <v>2915</v>
      </c>
      <c r="B1806" s="521" t="s">
        <v>2916</v>
      </c>
      <c r="C1806" s="520" t="s">
        <v>213</v>
      </c>
      <c r="D1806" s="472">
        <v>358.37299999999999</v>
      </c>
      <c r="E1806" s="522">
        <v>326.35000000000002</v>
      </c>
      <c r="F1806" s="523">
        <v>2916.4</v>
      </c>
      <c r="G1806" s="524" t="s">
        <v>3663</v>
      </c>
      <c r="H1806" s="525" t="s">
        <v>3666</v>
      </c>
      <c r="I1806" s="474"/>
      <c r="J1806" s="475" t="s">
        <v>6000</v>
      </c>
    </row>
    <row r="1807" spans="1:10" ht="14.25" customHeight="1">
      <c r="A1807" s="520" t="s">
        <v>2917</v>
      </c>
      <c r="B1807" s="521" t="s">
        <v>2918</v>
      </c>
      <c r="C1807" s="520" t="s">
        <v>213</v>
      </c>
      <c r="D1807" s="472">
        <v>375.03300000000002</v>
      </c>
      <c r="E1807" s="522">
        <v>341.52100000000002</v>
      </c>
      <c r="F1807" s="523">
        <v>3201.7333333333336</v>
      </c>
      <c r="G1807" s="524" t="s">
        <v>3663</v>
      </c>
      <c r="H1807" s="525" t="s">
        <v>3666</v>
      </c>
      <c r="I1807" s="474"/>
      <c r="J1807" s="475" t="s">
        <v>6001</v>
      </c>
    </row>
    <row r="1808" spans="1:10" ht="14.25" customHeight="1">
      <c r="A1808" s="520" t="s">
        <v>2919</v>
      </c>
      <c r="B1808" s="521" t="s">
        <v>2920</v>
      </c>
      <c r="C1808" s="520" t="s">
        <v>213</v>
      </c>
      <c r="D1808" s="472">
        <v>151.41900000000001</v>
      </c>
      <c r="E1808" s="522">
        <v>137.88900000000001</v>
      </c>
      <c r="F1808" s="523">
        <v>434</v>
      </c>
      <c r="G1808" s="524" t="s">
        <v>3663</v>
      </c>
      <c r="H1808" s="525" t="s">
        <v>3666</v>
      </c>
      <c r="I1808" s="474"/>
      <c r="J1808" s="475" t="s">
        <v>6002</v>
      </c>
    </row>
    <row r="1809" spans="1:10" ht="14.25" customHeight="1">
      <c r="A1809" s="520" t="s">
        <v>2921</v>
      </c>
      <c r="B1809" s="521" t="s">
        <v>2922</v>
      </c>
      <c r="C1809" s="520" t="s">
        <v>213</v>
      </c>
      <c r="D1809" s="472">
        <v>175.48400000000001</v>
      </c>
      <c r="E1809" s="522">
        <v>159.803</v>
      </c>
      <c r="F1809" s="523">
        <v>719.33333333333337</v>
      </c>
      <c r="G1809" s="524" t="s">
        <v>3663</v>
      </c>
      <c r="H1809" s="525" t="s">
        <v>3666</v>
      </c>
      <c r="I1809" s="474"/>
      <c r="J1809" s="475" t="s">
        <v>6003</v>
      </c>
    </row>
    <row r="1810" spans="1:10" ht="14.25" customHeight="1">
      <c r="A1810" s="520" t="s">
        <v>2923</v>
      </c>
      <c r="B1810" s="521" t="s">
        <v>2924</v>
      </c>
      <c r="C1810" s="520" t="s">
        <v>213</v>
      </c>
      <c r="D1810" s="472">
        <v>199.548</v>
      </c>
      <c r="E1810" s="522">
        <v>181.71799999999999</v>
      </c>
      <c r="F1810" s="523">
        <v>1004.6666666666667</v>
      </c>
      <c r="G1810" s="524" t="s">
        <v>3663</v>
      </c>
      <c r="H1810" s="525" t="s">
        <v>3666</v>
      </c>
      <c r="I1810" s="474"/>
      <c r="J1810" s="475" t="s">
        <v>6004</v>
      </c>
    </row>
    <row r="1811" spans="1:10" ht="14.25" customHeight="1">
      <c r="A1811" s="520" t="s">
        <v>2925</v>
      </c>
      <c r="B1811" s="521" t="s">
        <v>2926</v>
      </c>
      <c r="C1811" s="520" t="s">
        <v>213</v>
      </c>
      <c r="D1811" s="472">
        <v>223.613</v>
      </c>
      <c r="E1811" s="522">
        <v>203.631</v>
      </c>
      <c r="F1811" s="523">
        <v>1290</v>
      </c>
      <c r="G1811" s="524" t="s">
        <v>3663</v>
      </c>
      <c r="H1811" s="525" t="s">
        <v>3666</v>
      </c>
      <c r="I1811" s="474"/>
      <c r="J1811" s="475" t="s">
        <v>6005</v>
      </c>
    </row>
    <row r="1812" spans="1:10" ht="14.25" customHeight="1">
      <c r="A1812" s="520" t="s">
        <v>2927</v>
      </c>
      <c r="B1812" s="521" t="s">
        <v>2928</v>
      </c>
      <c r="C1812" s="520" t="s">
        <v>213</v>
      </c>
      <c r="D1812" s="472">
        <v>247.678</v>
      </c>
      <c r="E1812" s="522">
        <v>225.54599999999999</v>
      </c>
      <c r="F1812" s="523">
        <v>1575.3333333333335</v>
      </c>
      <c r="G1812" s="524" t="s">
        <v>3663</v>
      </c>
      <c r="H1812" s="525" t="s">
        <v>3666</v>
      </c>
      <c r="I1812" s="474"/>
      <c r="J1812" s="475" t="s">
        <v>6006</v>
      </c>
    </row>
    <row r="1813" spans="1:10" ht="14.25" customHeight="1">
      <c r="A1813" s="520" t="s">
        <v>2929</v>
      </c>
      <c r="B1813" s="521" t="s">
        <v>2930</v>
      </c>
      <c r="C1813" s="520" t="s">
        <v>213</v>
      </c>
      <c r="D1813" s="472">
        <v>271.74099999999999</v>
      </c>
      <c r="E1813" s="522">
        <v>247.46</v>
      </c>
      <c r="F1813" s="523">
        <v>1860.6666666666667</v>
      </c>
      <c r="G1813" s="524" t="s">
        <v>3663</v>
      </c>
      <c r="H1813" s="525" t="s">
        <v>3666</v>
      </c>
      <c r="I1813" s="474"/>
      <c r="J1813" s="475" t="s">
        <v>6007</v>
      </c>
    </row>
    <row r="1814" spans="1:10" ht="14.25" customHeight="1">
      <c r="A1814" s="520" t="s">
        <v>2931</v>
      </c>
      <c r="B1814" s="521" t="s">
        <v>2932</v>
      </c>
      <c r="C1814" s="520" t="s">
        <v>213</v>
      </c>
      <c r="D1814" s="472">
        <v>295.80599999999998</v>
      </c>
      <c r="E1814" s="522">
        <v>269.37299999999999</v>
      </c>
      <c r="F1814" s="523">
        <v>2146</v>
      </c>
      <c r="G1814" s="524" t="s">
        <v>3663</v>
      </c>
      <c r="H1814" s="525" t="s">
        <v>3666</v>
      </c>
      <c r="I1814" s="474"/>
      <c r="J1814" s="475" t="s">
        <v>6008</v>
      </c>
    </row>
    <row r="1815" spans="1:10" ht="14.25" customHeight="1">
      <c r="A1815" s="520" t="s">
        <v>2933</v>
      </c>
      <c r="B1815" s="521" t="s">
        <v>2934</v>
      </c>
      <c r="C1815" s="520" t="s">
        <v>213</v>
      </c>
      <c r="D1815" s="472">
        <v>319.87</v>
      </c>
      <c r="E1815" s="522">
        <v>291.28800000000001</v>
      </c>
      <c r="F1815" s="523">
        <v>2431.3333333333335</v>
      </c>
      <c r="G1815" s="524" t="s">
        <v>3663</v>
      </c>
      <c r="H1815" s="525" t="s">
        <v>3666</v>
      </c>
      <c r="I1815" s="474"/>
      <c r="J1815" s="475" t="s">
        <v>6009</v>
      </c>
    </row>
    <row r="1816" spans="1:10" ht="14.25" customHeight="1">
      <c r="A1816" s="520" t="s">
        <v>2935</v>
      </c>
      <c r="B1816" s="521" t="s">
        <v>2936</v>
      </c>
      <c r="C1816" s="520" t="s">
        <v>213</v>
      </c>
      <c r="D1816" s="472">
        <v>358.37299999999999</v>
      </c>
      <c r="E1816" s="522">
        <v>326.35000000000002</v>
      </c>
      <c r="F1816" s="523">
        <v>2716.666666666667</v>
      </c>
      <c r="G1816" s="524" t="s">
        <v>3663</v>
      </c>
      <c r="H1816" s="525" t="s">
        <v>3666</v>
      </c>
      <c r="I1816" s="474"/>
      <c r="J1816" s="475" t="s">
        <v>6010</v>
      </c>
    </row>
    <row r="1817" spans="1:10" ht="14.25" customHeight="1">
      <c r="A1817" s="520" t="s">
        <v>2937</v>
      </c>
      <c r="B1817" s="521" t="s">
        <v>2938</v>
      </c>
      <c r="C1817" s="520" t="s">
        <v>213</v>
      </c>
      <c r="D1817" s="472">
        <v>375.03300000000002</v>
      </c>
      <c r="E1817" s="522">
        <v>341.52100000000002</v>
      </c>
      <c r="F1817" s="523">
        <v>3002</v>
      </c>
      <c r="G1817" s="524" t="s">
        <v>3663</v>
      </c>
      <c r="H1817" s="525" t="s">
        <v>3666</v>
      </c>
      <c r="I1817" s="474"/>
      <c r="J1817" s="475" t="s">
        <v>6011</v>
      </c>
    </row>
    <row r="1818" spans="1:10" ht="14.25" customHeight="1">
      <c r="A1818" s="520" t="s">
        <v>4096</v>
      </c>
      <c r="B1818" s="521" t="s">
        <v>4097</v>
      </c>
      <c r="C1818" s="520" t="s">
        <v>213</v>
      </c>
      <c r="D1818" s="472">
        <v>151.41999999999999</v>
      </c>
      <c r="E1818" s="522">
        <v>137.88999999999999</v>
      </c>
      <c r="F1818" s="523">
        <v>3002</v>
      </c>
      <c r="G1818" s="524" t="s">
        <v>3663</v>
      </c>
      <c r="H1818" s="525" t="s">
        <v>3666</v>
      </c>
      <c r="I1818" s="474"/>
      <c r="J1818" s="475" t="s">
        <v>6012</v>
      </c>
    </row>
    <row r="1819" spans="1:10" ht="14.25" customHeight="1">
      <c r="A1819" s="583" t="s">
        <v>4098</v>
      </c>
      <c r="B1819" s="584" t="s">
        <v>4099</v>
      </c>
      <c r="C1819" s="583" t="s">
        <v>4158</v>
      </c>
      <c r="D1819" s="585">
        <v>155.08000000000001</v>
      </c>
      <c r="E1819" s="522">
        <v>137.06299999999999</v>
      </c>
      <c r="F1819" s="586">
        <v>384.40000000000003</v>
      </c>
      <c r="G1819" s="524" t="s">
        <v>3663</v>
      </c>
      <c r="H1819" s="525" t="s">
        <v>3666</v>
      </c>
      <c r="I1819" s="474"/>
      <c r="J1819" s="475" t="s">
        <v>6013</v>
      </c>
    </row>
    <row r="1820" spans="1:10" ht="14.25" customHeight="1">
      <c r="A1820" s="583" t="s">
        <v>4100</v>
      </c>
      <c r="B1820" s="584" t="s">
        <v>4101</v>
      </c>
      <c r="C1820" s="583" t="s">
        <v>4158</v>
      </c>
      <c r="D1820" s="585">
        <v>179.14400000000001</v>
      </c>
      <c r="E1820" s="522">
        <v>158.976</v>
      </c>
      <c r="F1820" s="586">
        <v>669.73333333333335</v>
      </c>
      <c r="G1820" s="524" t="s">
        <v>3663</v>
      </c>
      <c r="H1820" s="525" t="s">
        <v>3666</v>
      </c>
      <c r="I1820" s="474"/>
      <c r="J1820" s="475" t="s">
        <v>6014</v>
      </c>
    </row>
    <row r="1821" spans="1:10" ht="14.25" customHeight="1">
      <c r="A1821" s="583" t="s">
        <v>4102</v>
      </c>
      <c r="B1821" s="584" t="s">
        <v>4103</v>
      </c>
      <c r="C1821" s="583" t="s">
        <v>4158</v>
      </c>
      <c r="D1821" s="585">
        <v>203.209</v>
      </c>
      <c r="E1821" s="522">
        <v>180.89</v>
      </c>
      <c r="F1821" s="586">
        <v>955.06666666666672</v>
      </c>
      <c r="G1821" s="524" t="s">
        <v>3663</v>
      </c>
      <c r="H1821" s="525" t="s">
        <v>3666</v>
      </c>
      <c r="I1821" s="474"/>
      <c r="J1821" s="475" t="s">
        <v>6015</v>
      </c>
    </row>
    <row r="1822" spans="1:10" ht="14.25" customHeight="1">
      <c r="A1822" s="583" t="s">
        <v>4104</v>
      </c>
      <c r="B1822" s="584" t="s">
        <v>4105</v>
      </c>
      <c r="C1822" s="583" t="s">
        <v>4158</v>
      </c>
      <c r="D1822" s="585">
        <v>227.273</v>
      </c>
      <c r="E1822" s="522">
        <v>202.80500000000001</v>
      </c>
      <c r="F1822" s="586">
        <v>1240.4000000000001</v>
      </c>
      <c r="G1822" s="524" t="s">
        <v>3663</v>
      </c>
      <c r="H1822" s="525" t="s">
        <v>3666</v>
      </c>
      <c r="I1822" s="474"/>
      <c r="J1822" s="475" t="s">
        <v>6016</v>
      </c>
    </row>
    <row r="1823" spans="1:10" ht="14.25" customHeight="1">
      <c r="A1823" s="583" t="s">
        <v>4106</v>
      </c>
      <c r="B1823" s="584" t="s">
        <v>4107</v>
      </c>
      <c r="C1823" s="583" t="s">
        <v>4158</v>
      </c>
      <c r="D1823" s="585">
        <v>251.33799999999999</v>
      </c>
      <c r="E1823" s="522">
        <v>224.71899999999999</v>
      </c>
      <c r="F1823" s="586">
        <v>1525.7333333333333</v>
      </c>
      <c r="G1823" s="524" t="s">
        <v>3663</v>
      </c>
      <c r="H1823" s="525" t="s">
        <v>3666</v>
      </c>
      <c r="I1823" s="474"/>
      <c r="J1823" s="475" t="s">
        <v>6017</v>
      </c>
    </row>
    <row r="1824" spans="1:10" ht="14.25" customHeight="1">
      <c r="A1824" s="583" t="s">
        <v>4108</v>
      </c>
      <c r="B1824" s="584" t="s">
        <v>4109</v>
      </c>
      <c r="C1824" s="583" t="s">
        <v>4158</v>
      </c>
      <c r="D1824" s="585">
        <v>275.40300000000002</v>
      </c>
      <c r="E1824" s="522">
        <v>246.63399999999999</v>
      </c>
      <c r="F1824" s="586">
        <v>1811.0666666666668</v>
      </c>
      <c r="G1824" s="524" t="s">
        <v>3663</v>
      </c>
      <c r="H1824" s="525" t="s">
        <v>3666</v>
      </c>
      <c r="I1824" s="474"/>
      <c r="J1824" s="475" t="s">
        <v>6018</v>
      </c>
    </row>
    <row r="1825" spans="1:10" ht="14.25" customHeight="1">
      <c r="A1825" s="583" t="s">
        <v>4110</v>
      </c>
      <c r="B1825" s="584" t="s">
        <v>4111</v>
      </c>
      <c r="C1825" s="583" t="s">
        <v>4158</v>
      </c>
      <c r="D1825" s="585">
        <v>299.46600000000001</v>
      </c>
      <c r="E1825" s="522">
        <v>268.548</v>
      </c>
      <c r="F1825" s="586">
        <v>2096.4</v>
      </c>
      <c r="G1825" s="524" t="s">
        <v>3663</v>
      </c>
      <c r="H1825" s="525" t="s">
        <v>3666</v>
      </c>
      <c r="I1825" s="474"/>
      <c r="J1825" s="475" t="s">
        <v>6019</v>
      </c>
    </row>
    <row r="1826" spans="1:10" ht="14.25" customHeight="1">
      <c r="A1826" s="583" t="s">
        <v>4112</v>
      </c>
      <c r="B1826" s="584" t="s">
        <v>4113</v>
      </c>
      <c r="C1826" s="583" t="s">
        <v>4158</v>
      </c>
      <c r="D1826" s="585">
        <v>323.53100000000001</v>
      </c>
      <c r="E1826" s="522">
        <v>290.45999999999998</v>
      </c>
      <c r="F1826" s="586">
        <v>2381.7333333333336</v>
      </c>
      <c r="G1826" s="524" t="s">
        <v>3663</v>
      </c>
      <c r="H1826" s="525" t="s">
        <v>3666</v>
      </c>
      <c r="I1826" s="474"/>
      <c r="J1826" s="475" t="s">
        <v>6020</v>
      </c>
    </row>
    <row r="1827" spans="1:10" ht="14.25" customHeight="1">
      <c r="A1827" s="583" t="s">
        <v>4114</v>
      </c>
      <c r="B1827" s="584" t="s">
        <v>4115</v>
      </c>
      <c r="C1827" s="583" t="s">
        <v>4158</v>
      </c>
      <c r="D1827" s="585">
        <v>347.59500000000003</v>
      </c>
      <c r="E1827" s="522">
        <v>312.375</v>
      </c>
      <c r="F1827" s="586">
        <v>2667.0666666666666</v>
      </c>
      <c r="G1827" s="524" t="s">
        <v>3663</v>
      </c>
      <c r="H1827" s="525" t="s">
        <v>3666</v>
      </c>
      <c r="I1827" s="474"/>
      <c r="J1827" s="475" t="s">
        <v>6021</v>
      </c>
    </row>
    <row r="1828" spans="1:10" ht="14.25" customHeight="1">
      <c r="A1828" s="583" t="s">
        <v>4116</v>
      </c>
      <c r="B1828" s="584" t="s">
        <v>4117</v>
      </c>
      <c r="C1828" s="583" t="s">
        <v>4158</v>
      </c>
      <c r="D1828" s="585">
        <v>386.09800000000001</v>
      </c>
      <c r="E1828" s="522">
        <v>347.43799999999999</v>
      </c>
      <c r="F1828" s="586">
        <v>2952.4</v>
      </c>
      <c r="G1828" s="524" t="s">
        <v>3663</v>
      </c>
      <c r="H1828" s="525" t="s">
        <v>3666</v>
      </c>
      <c r="I1828" s="474"/>
      <c r="J1828" s="475" t="s">
        <v>6022</v>
      </c>
    </row>
    <row r="1829" spans="1:10" ht="14.25" customHeight="1">
      <c r="A1829" s="583" t="s">
        <v>4118</v>
      </c>
      <c r="B1829" s="584" t="s">
        <v>4119</v>
      </c>
      <c r="C1829" s="583" t="s">
        <v>4158</v>
      </c>
      <c r="D1829" s="585">
        <v>402.75799999999998</v>
      </c>
      <c r="E1829" s="522">
        <v>362.60899999999998</v>
      </c>
      <c r="F1829" s="586">
        <v>3237.7333333333336</v>
      </c>
      <c r="G1829" s="524" t="s">
        <v>3663</v>
      </c>
      <c r="H1829" s="525" t="s">
        <v>3666</v>
      </c>
      <c r="I1829" s="474"/>
      <c r="J1829" s="475" t="s">
        <v>6023</v>
      </c>
    </row>
    <row r="1830" spans="1:10" ht="14.25" customHeight="1">
      <c r="A1830" s="583" t="s">
        <v>4120</v>
      </c>
      <c r="B1830" s="584" t="s">
        <v>4121</v>
      </c>
      <c r="C1830" s="583" t="s">
        <v>4158</v>
      </c>
      <c r="D1830" s="585">
        <v>179.14400000000001</v>
      </c>
      <c r="E1830" s="522">
        <v>158.976</v>
      </c>
      <c r="F1830" s="586">
        <v>470</v>
      </c>
      <c r="G1830" s="524" t="s">
        <v>3663</v>
      </c>
      <c r="H1830" s="525" t="s">
        <v>3666</v>
      </c>
      <c r="I1830" s="474"/>
      <c r="J1830" s="475" t="s">
        <v>6024</v>
      </c>
    </row>
    <row r="1831" spans="1:10" ht="14.25" customHeight="1">
      <c r="A1831" s="583" t="s">
        <v>4122</v>
      </c>
      <c r="B1831" s="584" t="s">
        <v>4123</v>
      </c>
      <c r="C1831" s="583" t="s">
        <v>4158</v>
      </c>
      <c r="D1831" s="585">
        <v>203.209</v>
      </c>
      <c r="E1831" s="522">
        <v>180.89</v>
      </c>
      <c r="F1831" s="586">
        <v>755.33333333333337</v>
      </c>
      <c r="G1831" s="524" t="s">
        <v>3663</v>
      </c>
      <c r="H1831" s="525" t="s">
        <v>3666</v>
      </c>
      <c r="I1831" s="474"/>
      <c r="J1831" s="475" t="s">
        <v>6025</v>
      </c>
    </row>
    <row r="1832" spans="1:10" ht="14.25" customHeight="1">
      <c r="A1832" s="583" t="s">
        <v>4124</v>
      </c>
      <c r="B1832" s="584" t="s">
        <v>4125</v>
      </c>
      <c r="C1832" s="583" t="s">
        <v>4158</v>
      </c>
      <c r="D1832" s="585">
        <v>227.273</v>
      </c>
      <c r="E1832" s="522">
        <v>202.80500000000001</v>
      </c>
      <c r="F1832" s="586">
        <v>1040.6666666666667</v>
      </c>
      <c r="G1832" s="524" t="s">
        <v>3663</v>
      </c>
      <c r="H1832" s="525" t="s">
        <v>3666</v>
      </c>
      <c r="I1832" s="474"/>
      <c r="J1832" s="475" t="s">
        <v>6026</v>
      </c>
    </row>
    <row r="1833" spans="1:10" ht="14.25" customHeight="1">
      <c r="A1833" s="583" t="s">
        <v>4126</v>
      </c>
      <c r="B1833" s="584" t="s">
        <v>4127</v>
      </c>
      <c r="C1833" s="583" t="s">
        <v>4158</v>
      </c>
      <c r="D1833" s="585">
        <v>251.33799999999999</v>
      </c>
      <c r="E1833" s="522">
        <v>224.71899999999999</v>
      </c>
      <c r="F1833" s="586">
        <v>1326</v>
      </c>
      <c r="G1833" s="524" t="s">
        <v>3663</v>
      </c>
      <c r="H1833" s="525" t="s">
        <v>3666</v>
      </c>
      <c r="I1833" s="474"/>
      <c r="J1833" s="475" t="s">
        <v>6027</v>
      </c>
    </row>
    <row r="1834" spans="1:10" ht="14.25" customHeight="1">
      <c r="A1834" s="583" t="s">
        <v>4128</v>
      </c>
      <c r="B1834" s="584" t="s">
        <v>4129</v>
      </c>
      <c r="C1834" s="583" t="s">
        <v>4158</v>
      </c>
      <c r="D1834" s="585">
        <v>275.40300000000002</v>
      </c>
      <c r="E1834" s="522">
        <v>246.63399999999999</v>
      </c>
      <c r="F1834" s="586">
        <v>1611.3333333333335</v>
      </c>
      <c r="G1834" s="524" t="s">
        <v>3663</v>
      </c>
      <c r="H1834" s="525" t="s">
        <v>3666</v>
      </c>
      <c r="I1834" s="474"/>
      <c r="J1834" s="475" t="s">
        <v>6028</v>
      </c>
    </row>
    <row r="1835" spans="1:10" ht="14.25" customHeight="1">
      <c r="A1835" s="583" t="s">
        <v>4130</v>
      </c>
      <c r="B1835" s="584" t="s">
        <v>4131</v>
      </c>
      <c r="C1835" s="583" t="s">
        <v>4158</v>
      </c>
      <c r="D1835" s="585">
        <v>299.46600000000001</v>
      </c>
      <c r="E1835" s="522">
        <v>268.548</v>
      </c>
      <c r="F1835" s="586">
        <v>1896.6666666666667</v>
      </c>
      <c r="G1835" s="524" t="s">
        <v>3663</v>
      </c>
      <c r="H1835" s="525" t="s">
        <v>3666</v>
      </c>
      <c r="I1835" s="474"/>
      <c r="J1835" s="475" t="s">
        <v>6029</v>
      </c>
    </row>
    <row r="1836" spans="1:10" ht="14.25" customHeight="1">
      <c r="A1836" s="583" t="s">
        <v>4132</v>
      </c>
      <c r="B1836" s="584" t="s">
        <v>4133</v>
      </c>
      <c r="C1836" s="583" t="s">
        <v>4158</v>
      </c>
      <c r="D1836" s="585">
        <v>323.53100000000001</v>
      </c>
      <c r="E1836" s="522">
        <v>290.45999999999998</v>
      </c>
      <c r="F1836" s="586">
        <v>2182</v>
      </c>
      <c r="G1836" s="524" t="s">
        <v>3663</v>
      </c>
      <c r="H1836" s="525" t="s">
        <v>3666</v>
      </c>
      <c r="I1836" s="474"/>
      <c r="J1836" s="475" t="s">
        <v>6030</v>
      </c>
    </row>
    <row r="1837" spans="1:10" ht="14.25" customHeight="1">
      <c r="A1837" s="583" t="s">
        <v>4134</v>
      </c>
      <c r="B1837" s="584" t="s">
        <v>4135</v>
      </c>
      <c r="C1837" s="583" t="s">
        <v>4158</v>
      </c>
      <c r="D1837" s="585">
        <v>347.59500000000003</v>
      </c>
      <c r="E1837" s="522">
        <v>312.375</v>
      </c>
      <c r="F1837" s="586">
        <v>2467.3333333333335</v>
      </c>
      <c r="G1837" s="524" t="s">
        <v>3663</v>
      </c>
      <c r="H1837" s="525" t="s">
        <v>3666</v>
      </c>
      <c r="I1837" s="474"/>
      <c r="J1837" s="475" t="s">
        <v>6031</v>
      </c>
    </row>
    <row r="1838" spans="1:10" ht="14.25" customHeight="1">
      <c r="A1838" s="583" t="s">
        <v>4136</v>
      </c>
      <c r="B1838" s="584" t="s">
        <v>4137</v>
      </c>
      <c r="C1838" s="583" t="s">
        <v>4158</v>
      </c>
      <c r="D1838" s="585">
        <v>386.09800000000001</v>
      </c>
      <c r="E1838" s="522">
        <v>347.43799999999999</v>
      </c>
      <c r="F1838" s="586">
        <v>2752.666666666667</v>
      </c>
      <c r="G1838" s="524" t="s">
        <v>3663</v>
      </c>
      <c r="H1838" s="525" t="s">
        <v>3666</v>
      </c>
      <c r="I1838" s="474"/>
      <c r="J1838" s="475" t="s">
        <v>6032</v>
      </c>
    </row>
    <row r="1839" spans="1:10" ht="14.25" customHeight="1">
      <c r="A1839" s="583" t="s">
        <v>4138</v>
      </c>
      <c r="B1839" s="584" t="s">
        <v>4139</v>
      </c>
      <c r="C1839" s="583" t="s">
        <v>4158</v>
      </c>
      <c r="D1839" s="585">
        <v>402.75799999999998</v>
      </c>
      <c r="E1839" s="522">
        <v>362.60899999999998</v>
      </c>
      <c r="F1839" s="586">
        <v>3038</v>
      </c>
      <c r="G1839" s="524" t="s">
        <v>3663</v>
      </c>
      <c r="H1839" s="525" t="s">
        <v>3666</v>
      </c>
      <c r="I1839" s="474"/>
      <c r="J1839" s="475" t="s">
        <v>6033</v>
      </c>
    </row>
    <row r="1840" spans="1:10" ht="14.25" customHeight="1">
      <c r="A1840" s="520" t="s">
        <v>2939</v>
      </c>
      <c r="B1840" s="521" t="s">
        <v>2940</v>
      </c>
      <c r="C1840" s="520" t="s">
        <v>213</v>
      </c>
      <c r="D1840" s="472">
        <v>72.084999999999994</v>
      </c>
      <c r="E1840" s="522">
        <v>61.273000000000003</v>
      </c>
      <c r="F1840" s="523" t="s">
        <v>4166</v>
      </c>
      <c r="G1840" s="524" t="s">
        <v>3663</v>
      </c>
      <c r="H1840" s="525" t="s">
        <v>3666</v>
      </c>
      <c r="I1840" s="474"/>
      <c r="J1840" s="475" t="s">
        <v>6034</v>
      </c>
    </row>
    <row r="1841" spans="1:10" ht="14.25" customHeight="1">
      <c r="A1841" s="520" t="s">
        <v>2941</v>
      </c>
      <c r="B1841" s="521" t="s">
        <v>2942</v>
      </c>
      <c r="C1841" s="520" t="s">
        <v>213</v>
      </c>
      <c r="D1841" s="472">
        <v>108.35</v>
      </c>
      <c r="E1841" s="522">
        <v>92.097999999999999</v>
      </c>
      <c r="F1841" s="523" t="s">
        <v>4166</v>
      </c>
      <c r="G1841" s="524" t="s">
        <v>3663</v>
      </c>
      <c r="H1841" s="525" t="s">
        <v>3666</v>
      </c>
      <c r="I1841" s="474"/>
      <c r="J1841" s="475" t="s">
        <v>6035</v>
      </c>
    </row>
    <row r="1842" spans="1:10" ht="14.25" customHeight="1">
      <c r="A1842" s="520" t="s">
        <v>2943</v>
      </c>
      <c r="B1842" s="521" t="s">
        <v>2944</v>
      </c>
      <c r="C1842" s="520" t="s">
        <v>213</v>
      </c>
      <c r="D1842" s="472">
        <v>144.631</v>
      </c>
      <c r="E1842" s="522">
        <v>122.938</v>
      </c>
      <c r="F1842" s="523" t="s">
        <v>4166</v>
      </c>
      <c r="G1842" s="524" t="s">
        <v>3663</v>
      </c>
      <c r="H1842" s="525" t="s">
        <v>3666</v>
      </c>
      <c r="I1842" s="474"/>
      <c r="J1842" s="475" t="s">
        <v>6036</v>
      </c>
    </row>
    <row r="1843" spans="1:10" ht="14.25" customHeight="1">
      <c r="A1843" s="520" t="s">
        <v>2945</v>
      </c>
      <c r="B1843" s="521" t="s">
        <v>2946</v>
      </c>
      <c r="C1843" s="520" t="s">
        <v>213</v>
      </c>
      <c r="D1843" s="472">
        <v>180.89500000000001</v>
      </c>
      <c r="E1843" s="522">
        <v>153.76300000000001</v>
      </c>
      <c r="F1843" s="523" t="s">
        <v>4166</v>
      </c>
      <c r="G1843" s="524" t="s">
        <v>3663</v>
      </c>
      <c r="H1843" s="525" t="s">
        <v>3666</v>
      </c>
      <c r="I1843" s="474"/>
      <c r="J1843" s="475" t="s">
        <v>6037</v>
      </c>
    </row>
    <row r="1844" spans="1:10" ht="14.25" customHeight="1">
      <c r="A1844" s="520" t="s">
        <v>2947</v>
      </c>
      <c r="B1844" s="521" t="s">
        <v>2948</v>
      </c>
      <c r="C1844" s="520" t="s">
        <v>213</v>
      </c>
      <c r="D1844" s="472">
        <v>217.161</v>
      </c>
      <c r="E1844" s="522">
        <v>184.58500000000001</v>
      </c>
      <c r="F1844" s="523" t="s">
        <v>4166</v>
      </c>
      <c r="G1844" s="524" t="s">
        <v>3663</v>
      </c>
      <c r="H1844" s="525" t="s">
        <v>3666</v>
      </c>
      <c r="I1844" s="474"/>
      <c r="J1844" s="475" t="s">
        <v>6038</v>
      </c>
    </row>
    <row r="1845" spans="1:10" ht="14.25" customHeight="1">
      <c r="A1845" s="520" t="s">
        <v>2949</v>
      </c>
      <c r="B1845" s="521" t="s">
        <v>2950</v>
      </c>
      <c r="C1845" s="520" t="s">
        <v>213</v>
      </c>
      <c r="D1845" s="472">
        <v>253.44300000000001</v>
      </c>
      <c r="E1845" s="522">
        <v>215.42500000000001</v>
      </c>
      <c r="F1845" s="523" t="s">
        <v>4166</v>
      </c>
      <c r="G1845" s="524" t="s">
        <v>3663</v>
      </c>
      <c r="H1845" s="525" t="s">
        <v>3666</v>
      </c>
      <c r="I1845" s="474"/>
      <c r="J1845" s="475" t="s">
        <v>6039</v>
      </c>
    </row>
    <row r="1846" spans="1:10" ht="14.25" customHeight="1">
      <c r="A1846" s="520" t="s">
        <v>2951</v>
      </c>
      <c r="B1846" s="521" t="s">
        <v>2952</v>
      </c>
      <c r="C1846" s="520" t="s">
        <v>213</v>
      </c>
      <c r="D1846" s="472">
        <v>289.70800000000003</v>
      </c>
      <c r="E1846" s="522">
        <v>246.25</v>
      </c>
      <c r="F1846" s="523" t="s">
        <v>4166</v>
      </c>
      <c r="G1846" s="524" t="s">
        <v>3663</v>
      </c>
      <c r="H1846" s="525" t="s">
        <v>3666</v>
      </c>
      <c r="I1846" s="474"/>
      <c r="J1846" s="475" t="s">
        <v>6040</v>
      </c>
    </row>
    <row r="1847" spans="1:10" ht="14.25" customHeight="1">
      <c r="A1847" s="520" t="s">
        <v>2953</v>
      </c>
      <c r="B1847" s="521" t="s">
        <v>2954</v>
      </c>
      <c r="C1847" s="520" t="s">
        <v>213</v>
      </c>
      <c r="D1847" s="472">
        <v>325.971</v>
      </c>
      <c r="E1847" s="522">
        <v>277.07499999999999</v>
      </c>
      <c r="F1847" s="523" t="s">
        <v>4166</v>
      </c>
      <c r="G1847" s="524" t="s">
        <v>3663</v>
      </c>
      <c r="H1847" s="525" t="s">
        <v>3666</v>
      </c>
      <c r="I1847" s="474"/>
      <c r="J1847" s="475" t="s">
        <v>6041</v>
      </c>
    </row>
    <row r="1848" spans="1:10" ht="14.25" customHeight="1">
      <c r="A1848" s="520" t="s">
        <v>2955</v>
      </c>
      <c r="B1848" s="521" t="s">
        <v>2956</v>
      </c>
      <c r="C1848" s="520" t="s">
        <v>213</v>
      </c>
      <c r="D1848" s="472">
        <v>362.23500000000001</v>
      </c>
      <c r="E1848" s="522">
        <v>307.899</v>
      </c>
      <c r="F1848" s="523" t="s">
        <v>4166</v>
      </c>
      <c r="G1848" s="524" t="s">
        <v>3663</v>
      </c>
      <c r="H1848" s="525" t="s">
        <v>3666</v>
      </c>
      <c r="I1848" s="474"/>
      <c r="J1848" s="475" t="s">
        <v>6042</v>
      </c>
    </row>
    <row r="1849" spans="1:10" ht="14.25" customHeight="1">
      <c r="A1849" s="520" t="s">
        <v>2957</v>
      </c>
      <c r="B1849" s="521" t="s">
        <v>2958</v>
      </c>
      <c r="C1849" s="520" t="s">
        <v>213</v>
      </c>
      <c r="D1849" s="472">
        <v>398.51799999999997</v>
      </c>
      <c r="E1849" s="522">
        <v>338.73899999999998</v>
      </c>
      <c r="F1849" s="523" t="s">
        <v>4166</v>
      </c>
      <c r="G1849" s="524" t="s">
        <v>3663</v>
      </c>
      <c r="H1849" s="525" t="s">
        <v>3666</v>
      </c>
      <c r="I1849" s="474"/>
      <c r="J1849" s="475" t="s">
        <v>6043</v>
      </c>
    </row>
    <row r="1850" spans="1:10" ht="14.25" customHeight="1">
      <c r="A1850" s="520" t="s">
        <v>2959</v>
      </c>
      <c r="B1850" s="521" t="s">
        <v>2960</v>
      </c>
      <c r="C1850" s="520" t="s">
        <v>213</v>
      </c>
      <c r="D1850" s="472">
        <v>434.78100000000001</v>
      </c>
      <c r="E1850" s="522">
        <v>369.56400000000002</v>
      </c>
      <c r="F1850" s="523" t="s">
        <v>4166</v>
      </c>
      <c r="G1850" s="524" t="s">
        <v>3663</v>
      </c>
      <c r="H1850" s="525" t="s">
        <v>3666</v>
      </c>
      <c r="I1850" s="474"/>
      <c r="J1850" s="475" t="s">
        <v>6044</v>
      </c>
    </row>
    <row r="1851" spans="1:10" ht="14.25" customHeight="1">
      <c r="A1851" s="520" t="s">
        <v>2961</v>
      </c>
      <c r="B1851" s="521" t="s">
        <v>2962</v>
      </c>
      <c r="C1851" s="520" t="s">
        <v>213</v>
      </c>
      <c r="D1851" s="472">
        <v>80.378</v>
      </c>
      <c r="E1851" s="522">
        <v>68.322999999999993</v>
      </c>
      <c r="F1851" s="523" t="s">
        <v>4166</v>
      </c>
      <c r="G1851" s="524" t="s">
        <v>3663</v>
      </c>
      <c r="H1851" s="525" t="s">
        <v>3666</v>
      </c>
      <c r="I1851" s="474"/>
      <c r="J1851" s="475" t="s">
        <v>6045</v>
      </c>
    </row>
    <row r="1852" spans="1:10" ht="14.25" customHeight="1">
      <c r="A1852" s="520" t="s">
        <v>2963</v>
      </c>
      <c r="B1852" s="521" t="s">
        <v>2964</v>
      </c>
      <c r="C1852" s="520" t="s">
        <v>213</v>
      </c>
      <c r="D1852" s="472">
        <v>116.643</v>
      </c>
      <c r="E1852" s="522">
        <v>99.144999999999996</v>
      </c>
      <c r="F1852" s="523" t="s">
        <v>4166</v>
      </c>
      <c r="G1852" s="524" t="s">
        <v>3663</v>
      </c>
      <c r="H1852" s="525" t="s">
        <v>3666</v>
      </c>
      <c r="I1852" s="474"/>
      <c r="J1852" s="475" t="s">
        <v>6046</v>
      </c>
    </row>
    <row r="1853" spans="1:10" ht="14.25" customHeight="1">
      <c r="A1853" s="520" t="s">
        <v>2965</v>
      </c>
      <c r="B1853" s="521" t="s">
        <v>2966</v>
      </c>
      <c r="C1853" s="520" t="s">
        <v>213</v>
      </c>
      <c r="D1853" s="472">
        <v>152.92500000000001</v>
      </c>
      <c r="E1853" s="522">
        <v>129.98500000000001</v>
      </c>
      <c r="F1853" s="523" t="s">
        <v>4166</v>
      </c>
      <c r="G1853" s="524" t="s">
        <v>3663</v>
      </c>
      <c r="H1853" s="525" t="s">
        <v>3666</v>
      </c>
      <c r="I1853" s="474"/>
      <c r="J1853" s="475" t="s">
        <v>6047</v>
      </c>
    </row>
    <row r="1854" spans="1:10" ht="14.25" customHeight="1">
      <c r="A1854" s="520" t="s">
        <v>2967</v>
      </c>
      <c r="B1854" s="521" t="s">
        <v>2968</v>
      </c>
      <c r="C1854" s="520" t="s">
        <v>213</v>
      </c>
      <c r="D1854" s="472">
        <v>189.18899999999999</v>
      </c>
      <c r="E1854" s="522">
        <v>160.81</v>
      </c>
      <c r="F1854" s="523" t="s">
        <v>4166</v>
      </c>
      <c r="G1854" s="524" t="s">
        <v>3663</v>
      </c>
      <c r="H1854" s="525" t="s">
        <v>3666</v>
      </c>
      <c r="I1854" s="474"/>
      <c r="J1854" s="475" t="s">
        <v>6048</v>
      </c>
    </row>
    <row r="1855" spans="1:10" ht="14.25" customHeight="1">
      <c r="A1855" s="520" t="s">
        <v>2969</v>
      </c>
      <c r="B1855" s="521" t="s">
        <v>2970</v>
      </c>
      <c r="C1855" s="520" t="s">
        <v>213</v>
      </c>
      <c r="D1855" s="472">
        <v>225.453</v>
      </c>
      <c r="E1855" s="522">
        <v>191.63499999999999</v>
      </c>
      <c r="F1855" s="523" t="s">
        <v>4166</v>
      </c>
      <c r="G1855" s="524" t="s">
        <v>3663</v>
      </c>
      <c r="H1855" s="525" t="s">
        <v>3666</v>
      </c>
      <c r="I1855" s="474"/>
      <c r="J1855" s="475" t="s">
        <v>6049</v>
      </c>
    </row>
    <row r="1856" spans="1:10" ht="14.25" customHeight="1">
      <c r="A1856" s="520" t="s">
        <v>2971</v>
      </c>
      <c r="B1856" s="521" t="s">
        <v>2972</v>
      </c>
      <c r="C1856" s="520" t="s">
        <v>213</v>
      </c>
      <c r="D1856" s="472">
        <v>261.71800000000002</v>
      </c>
      <c r="E1856" s="522">
        <v>222.459</v>
      </c>
      <c r="F1856" s="523" t="s">
        <v>4166</v>
      </c>
      <c r="G1856" s="524" t="s">
        <v>3663</v>
      </c>
      <c r="H1856" s="525" t="s">
        <v>3666</v>
      </c>
      <c r="I1856" s="474"/>
      <c r="J1856" s="475" t="s">
        <v>6050</v>
      </c>
    </row>
    <row r="1857" spans="1:10" ht="14.25" customHeight="1">
      <c r="A1857" s="520" t="s">
        <v>2973</v>
      </c>
      <c r="B1857" s="521" t="s">
        <v>2974</v>
      </c>
      <c r="C1857" s="520" t="s">
        <v>213</v>
      </c>
      <c r="D1857" s="472">
        <v>297.99900000000002</v>
      </c>
      <c r="E1857" s="522">
        <v>253.29900000000001</v>
      </c>
      <c r="F1857" s="523" t="s">
        <v>4166</v>
      </c>
      <c r="G1857" s="524" t="s">
        <v>3663</v>
      </c>
      <c r="H1857" s="525" t="s">
        <v>3666</v>
      </c>
      <c r="I1857" s="474"/>
      <c r="J1857" s="475" t="s">
        <v>6051</v>
      </c>
    </row>
    <row r="1858" spans="1:10" ht="14.25" customHeight="1">
      <c r="A1858" s="520" t="s">
        <v>2975</v>
      </c>
      <c r="B1858" s="521" t="s">
        <v>2976</v>
      </c>
      <c r="C1858" s="520" t="s">
        <v>213</v>
      </c>
      <c r="D1858" s="472">
        <v>334.26299999999998</v>
      </c>
      <c r="E1858" s="522">
        <v>284.12400000000002</v>
      </c>
      <c r="F1858" s="523" t="s">
        <v>4166</v>
      </c>
      <c r="G1858" s="524" t="s">
        <v>3663</v>
      </c>
      <c r="H1858" s="525" t="s">
        <v>3666</v>
      </c>
      <c r="I1858" s="474"/>
      <c r="J1858" s="475" t="s">
        <v>6052</v>
      </c>
    </row>
    <row r="1859" spans="1:10" ht="14.25" customHeight="1">
      <c r="A1859" s="520" t="s">
        <v>2977</v>
      </c>
      <c r="B1859" s="521" t="s">
        <v>2978</v>
      </c>
      <c r="C1859" s="520" t="s">
        <v>213</v>
      </c>
      <c r="D1859" s="472">
        <v>370.52800000000002</v>
      </c>
      <c r="E1859" s="522">
        <v>314.94900000000001</v>
      </c>
      <c r="F1859" s="523" t="s">
        <v>4166</v>
      </c>
      <c r="G1859" s="524" t="s">
        <v>3663</v>
      </c>
      <c r="H1859" s="525" t="s">
        <v>3666</v>
      </c>
      <c r="I1859" s="474"/>
      <c r="J1859" s="475" t="s">
        <v>6053</v>
      </c>
    </row>
    <row r="1860" spans="1:10" ht="14.25" customHeight="1">
      <c r="A1860" s="520" t="s">
        <v>2979</v>
      </c>
      <c r="B1860" s="521" t="s">
        <v>2980</v>
      </c>
      <c r="C1860" s="520" t="s">
        <v>213</v>
      </c>
      <c r="D1860" s="472">
        <v>406.80900000000003</v>
      </c>
      <c r="E1860" s="522">
        <v>345.78800000000001</v>
      </c>
      <c r="F1860" s="523" t="s">
        <v>4166</v>
      </c>
      <c r="G1860" s="524" t="s">
        <v>3663</v>
      </c>
      <c r="H1860" s="525" t="s">
        <v>3666</v>
      </c>
      <c r="I1860" s="474"/>
      <c r="J1860" s="475" t="s">
        <v>6054</v>
      </c>
    </row>
    <row r="1861" spans="1:10" ht="14.25" customHeight="1">
      <c r="A1861" s="587" t="s">
        <v>2981</v>
      </c>
      <c r="B1861" s="588" t="s">
        <v>2982</v>
      </c>
      <c r="C1861" s="528" t="s">
        <v>213</v>
      </c>
      <c r="D1861" s="472">
        <v>27.779</v>
      </c>
      <c r="E1861" s="522">
        <v>25.603000000000002</v>
      </c>
      <c r="F1861" s="523" t="s">
        <v>4166</v>
      </c>
      <c r="G1861" s="524" t="s">
        <v>3663</v>
      </c>
      <c r="H1861" s="525" t="s">
        <v>3666</v>
      </c>
      <c r="I1861" s="474"/>
      <c r="J1861" s="475" t="s">
        <v>6055</v>
      </c>
    </row>
    <row r="1862" spans="1:10" ht="14.25" customHeight="1">
      <c r="A1862" s="587" t="s">
        <v>2983</v>
      </c>
      <c r="B1862" s="588" t="s">
        <v>2984</v>
      </c>
      <c r="C1862" s="528" t="s">
        <v>213</v>
      </c>
      <c r="D1862" s="472">
        <v>14.409000000000001</v>
      </c>
      <c r="E1862" s="522">
        <v>13.273999999999999</v>
      </c>
      <c r="F1862" s="523" t="s">
        <v>4166</v>
      </c>
      <c r="G1862" s="524" t="s">
        <v>3663</v>
      </c>
      <c r="H1862" s="525" t="s">
        <v>3666</v>
      </c>
      <c r="I1862" s="474"/>
      <c r="J1862" s="475" t="s">
        <v>6056</v>
      </c>
    </row>
    <row r="1863" spans="1:10" ht="14.25" customHeight="1">
      <c r="A1863" s="587" t="s">
        <v>2985</v>
      </c>
      <c r="B1863" s="588" t="s">
        <v>2986</v>
      </c>
      <c r="C1863" s="528" t="s">
        <v>213</v>
      </c>
      <c r="D1863" s="472">
        <v>4.5579999999999998</v>
      </c>
      <c r="E1863" s="522">
        <v>4.2009999999999996</v>
      </c>
      <c r="F1863" s="523" t="s">
        <v>4166</v>
      </c>
      <c r="G1863" s="524" t="s">
        <v>3663</v>
      </c>
      <c r="H1863" s="525" t="s">
        <v>3666</v>
      </c>
      <c r="I1863" s="474"/>
      <c r="J1863" s="475" t="s">
        <v>6057</v>
      </c>
    </row>
    <row r="1864" spans="1:10" ht="14.25" customHeight="1">
      <c r="A1864" s="587" t="s">
        <v>2987</v>
      </c>
      <c r="B1864" s="588" t="s">
        <v>2988</v>
      </c>
      <c r="C1864" s="528" t="s">
        <v>213</v>
      </c>
      <c r="D1864" s="472">
        <v>2.8159999999999998</v>
      </c>
      <c r="E1864" s="522">
        <v>2.5979999999999999</v>
      </c>
      <c r="F1864" s="523" t="s">
        <v>4166</v>
      </c>
      <c r="G1864" s="524" t="s">
        <v>3663</v>
      </c>
      <c r="H1864" s="525" t="s">
        <v>3666</v>
      </c>
      <c r="I1864" s="474"/>
      <c r="J1864" s="475" t="s">
        <v>6058</v>
      </c>
    </row>
    <row r="1865" spans="1:10" ht="14.25" customHeight="1">
      <c r="A1865" s="587" t="s">
        <v>2989</v>
      </c>
      <c r="B1865" s="588" t="s">
        <v>2990</v>
      </c>
      <c r="C1865" s="528" t="s">
        <v>213</v>
      </c>
      <c r="D1865" s="472">
        <v>1.4350000000000001</v>
      </c>
      <c r="E1865" s="522">
        <v>1.3260000000000001</v>
      </c>
      <c r="F1865" s="523" t="s">
        <v>4166</v>
      </c>
      <c r="G1865" s="526" t="s">
        <v>3668</v>
      </c>
      <c r="H1865" s="525" t="s">
        <v>3669</v>
      </c>
      <c r="I1865" s="474">
        <v>4016.93</v>
      </c>
      <c r="J1865" s="475" t="s">
        <v>6059</v>
      </c>
    </row>
    <row r="1866" spans="1:10" ht="14.25" customHeight="1">
      <c r="A1866" s="587" t="s">
        <v>2991</v>
      </c>
      <c r="B1866" s="588" t="s">
        <v>2992</v>
      </c>
      <c r="C1866" s="528" t="s">
        <v>213</v>
      </c>
      <c r="D1866" s="472">
        <v>27.779</v>
      </c>
      <c r="E1866" s="522">
        <v>25.603000000000002</v>
      </c>
      <c r="F1866" s="523" t="s">
        <v>4166</v>
      </c>
      <c r="G1866" s="524" t="s">
        <v>3663</v>
      </c>
      <c r="H1866" s="525" t="s">
        <v>3666</v>
      </c>
      <c r="I1866" s="474"/>
      <c r="J1866" s="475" t="s">
        <v>6060</v>
      </c>
    </row>
    <row r="1867" spans="1:10" ht="14.25" customHeight="1">
      <c r="A1867" s="587" t="s">
        <v>2993</v>
      </c>
      <c r="B1867" s="588" t="s">
        <v>2994</v>
      </c>
      <c r="C1867" s="528" t="s">
        <v>213</v>
      </c>
      <c r="D1867" s="472">
        <v>27.779</v>
      </c>
      <c r="E1867" s="522">
        <v>25.603000000000002</v>
      </c>
      <c r="F1867" s="523" t="s">
        <v>4166</v>
      </c>
      <c r="G1867" s="524" t="s">
        <v>3663</v>
      </c>
      <c r="H1867" s="525" t="s">
        <v>3666</v>
      </c>
      <c r="I1867" s="474"/>
      <c r="J1867" s="475" t="s">
        <v>6061</v>
      </c>
    </row>
    <row r="1868" spans="1:10" ht="14.25" customHeight="1">
      <c r="A1868" s="587" t="s">
        <v>2995</v>
      </c>
      <c r="B1868" s="588" t="s">
        <v>2996</v>
      </c>
      <c r="C1868" s="528" t="s">
        <v>213</v>
      </c>
      <c r="D1868" s="472">
        <v>27.779</v>
      </c>
      <c r="E1868" s="522">
        <v>25.603000000000002</v>
      </c>
      <c r="F1868" s="523" t="s">
        <v>4166</v>
      </c>
      <c r="G1868" s="524" t="s">
        <v>3663</v>
      </c>
      <c r="H1868" s="525" t="s">
        <v>3666</v>
      </c>
      <c r="I1868" s="474"/>
      <c r="J1868" s="475" t="s">
        <v>6062</v>
      </c>
    </row>
    <row r="1869" spans="1:10" ht="14.25" customHeight="1">
      <c r="A1869" s="587" t="s">
        <v>2997</v>
      </c>
      <c r="B1869" s="588" t="s">
        <v>2998</v>
      </c>
      <c r="C1869" s="528" t="s">
        <v>213</v>
      </c>
      <c r="D1869" s="472">
        <v>27.779</v>
      </c>
      <c r="E1869" s="522">
        <v>25.603000000000002</v>
      </c>
      <c r="F1869" s="523" t="s">
        <v>4166</v>
      </c>
      <c r="G1869" s="524" t="s">
        <v>3663</v>
      </c>
      <c r="H1869" s="525" t="s">
        <v>3666</v>
      </c>
      <c r="I1869" s="474"/>
      <c r="J1869" s="475" t="s">
        <v>6063</v>
      </c>
    </row>
    <row r="1870" spans="1:10" ht="14.25" customHeight="1">
      <c r="A1870" s="587" t="s">
        <v>2999</v>
      </c>
      <c r="B1870" s="588" t="s">
        <v>3000</v>
      </c>
      <c r="C1870" s="528" t="s">
        <v>213</v>
      </c>
      <c r="D1870" s="472">
        <v>27.779</v>
      </c>
      <c r="E1870" s="522">
        <v>25.603000000000002</v>
      </c>
      <c r="F1870" s="523" t="s">
        <v>4166</v>
      </c>
      <c r="G1870" s="524" t="s">
        <v>3663</v>
      </c>
      <c r="H1870" s="525" t="s">
        <v>3666</v>
      </c>
      <c r="I1870" s="474"/>
      <c r="J1870" s="475" t="s">
        <v>6064</v>
      </c>
    </row>
    <row r="1871" spans="1:10" ht="14.25" customHeight="1">
      <c r="A1871" s="587" t="s">
        <v>3001</v>
      </c>
      <c r="B1871" s="588" t="s">
        <v>3002</v>
      </c>
      <c r="C1871" s="528" t="s">
        <v>213</v>
      </c>
      <c r="D1871" s="472">
        <v>31.349</v>
      </c>
      <c r="E1871" s="522">
        <v>28.155000000000001</v>
      </c>
      <c r="F1871" s="523" t="s">
        <v>4166</v>
      </c>
      <c r="G1871" s="524" t="s">
        <v>3663</v>
      </c>
      <c r="H1871" s="525" t="s">
        <v>3666</v>
      </c>
      <c r="I1871" s="474"/>
      <c r="J1871" s="475" t="s">
        <v>6065</v>
      </c>
    </row>
    <row r="1872" spans="1:10" ht="14.25" customHeight="1">
      <c r="A1872" s="587" t="s">
        <v>3003</v>
      </c>
      <c r="B1872" s="588" t="s">
        <v>3004</v>
      </c>
      <c r="C1872" s="528" t="s">
        <v>213</v>
      </c>
      <c r="D1872" s="472">
        <v>29.463999999999999</v>
      </c>
      <c r="E1872" s="522">
        <v>27.167000000000002</v>
      </c>
      <c r="F1872" s="523" t="s">
        <v>4166</v>
      </c>
      <c r="G1872" s="524" t="s">
        <v>3663</v>
      </c>
      <c r="H1872" s="525" t="s">
        <v>3666</v>
      </c>
      <c r="I1872" s="474"/>
      <c r="J1872" s="475" t="s">
        <v>6066</v>
      </c>
    </row>
    <row r="1873" spans="1:10" ht="14.25" customHeight="1">
      <c r="A1873" s="587" t="s">
        <v>3005</v>
      </c>
      <c r="B1873" s="588" t="s">
        <v>3006</v>
      </c>
      <c r="C1873" s="528" t="s">
        <v>213</v>
      </c>
      <c r="D1873" s="472">
        <v>29.463999999999999</v>
      </c>
      <c r="E1873" s="522">
        <v>27.167000000000002</v>
      </c>
      <c r="F1873" s="523" t="s">
        <v>4166</v>
      </c>
      <c r="G1873" s="524" t="s">
        <v>3663</v>
      </c>
      <c r="H1873" s="525" t="s">
        <v>3666</v>
      </c>
      <c r="I1873" s="474"/>
      <c r="J1873" s="475" t="s">
        <v>6067</v>
      </c>
    </row>
    <row r="1874" spans="1:10" ht="14.25" customHeight="1">
      <c r="A1874" s="587" t="s">
        <v>3007</v>
      </c>
      <c r="B1874" s="588" t="s">
        <v>3008</v>
      </c>
      <c r="C1874" s="528" t="s">
        <v>213</v>
      </c>
      <c r="D1874" s="472">
        <v>29.463999999999999</v>
      </c>
      <c r="E1874" s="522">
        <v>27.167000000000002</v>
      </c>
      <c r="F1874" s="523" t="s">
        <v>4166</v>
      </c>
      <c r="G1874" s="524" t="s">
        <v>3663</v>
      </c>
      <c r="H1874" s="525" t="s">
        <v>3666</v>
      </c>
      <c r="I1874" s="474"/>
      <c r="J1874" s="475" t="s">
        <v>6068</v>
      </c>
    </row>
    <row r="1875" spans="1:10" ht="14.25" customHeight="1">
      <c r="A1875" s="587" t="s">
        <v>3009</v>
      </c>
      <c r="B1875" s="588" t="s">
        <v>3010</v>
      </c>
      <c r="C1875" s="528" t="s">
        <v>213</v>
      </c>
      <c r="D1875" s="472">
        <v>29.463999999999999</v>
      </c>
      <c r="E1875" s="522">
        <v>27.167000000000002</v>
      </c>
      <c r="F1875" s="523" t="s">
        <v>4166</v>
      </c>
      <c r="G1875" s="524" t="s">
        <v>3663</v>
      </c>
      <c r="H1875" s="525" t="s">
        <v>3666</v>
      </c>
      <c r="I1875" s="474"/>
      <c r="J1875" s="475" t="s">
        <v>6069</v>
      </c>
    </row>
    <row r="1876" spans="1:10" ht="14.25" customHeight="1">
      <c r="A1876" s="587" t="s">
        <v>3011</v>
      </c>
      <c r="B1876" s="588" t="s">
        <v>3012</v>
      </c>
      <c r="C1876" s="528" t="s">
        <v>213</v>
      </c>
      <c r="D1876" s="472">
        <v>29.463999999999999</v>
      </c>
      <c r="E1876" s="522">
        <v>27.167000000000002</v>
      </c>
      <c r="F1876" s="523" t="s">
        <v>4166</v>
      </c>
      <c r="G1876" s="524" t="s">
        <v>3663</v>
      </c>
      <c r="H1876" s="525" t="s">
        <v>3666</v>
      </c>
      <c r="I1876" s="474"/>
      <c r="J1876" s="475" t="s">
        <v>6070</v>
      </c>
    </row>
    <row r="1877" spans="1:10" ht="14.25" customHeight="1">
      <c r="A1877" s="587" t="s">
        <v>3013</v>
      </c>
      <c r="B1877" s="588" t="s">
        <v>3014</v>
      </c>
      <c r="C1877" s="528" t="s">
        <v>213</v>
      </c>
      <c r="D1877" s="472">
        <v>29.463999999999999</v>
      </c>
      <c r="E1877" s="522">
        <v>27.167000000000002</v>
      </c>
      <c r="F1877" s="523">
        <v>104</v>
      </c>
      <c r="G1877" s="524" t="s">
        <v>3663</v>
      </c>
      <c r="H1877" s="525" t="s">
        <v>3666</v>
      </c>
      <c r="I1877" s="474"/>
      <c r="J1877" s="475" t="s">
        <v>6071</v>
      </c>
    </row>
    <row r="1878" spans="1:10" ht="14.25" customHeight="1">
      <c r="A1878" s="587" t="s">
        <v>3015</v>
      </c>
      <c r="B1878" s="588" t="s">
        <v>3016</v>
      </c>
      <c r="C1878" s="528" t="s">
        <v>213</v>
      </c>
      <c r="D1878" s="472">
        <v>33.030999999999999</v>
      </c>
      <c r="E1878" s="522">
        <v>29.716999999999999</v>
      </c>
      <c r="F1878" s="523">
        <v>104</v>
      </c>
      <c r="G1878" s="524" t="s">
        <v>3663</v>
      </c>
      <c r="H1878" s="525" t="s">
        <v>3666</v>
      </c>
      <c r="I1878" s="474"/>
      <c r="J1878" s="475" t="s">
        <v>6072</v>
      </c>
    </row>
    <row r="1879" spans="1:10" ht="14.25" customHeight="1">
      <c r="A1879" s="587" t="s">
        <v>4140</v>
      </c>
      <c r="B1879" s="588" t="s">
        <v>3016</v>
      </c>
      <c r="C1879" s="528" t="s">
        <v>213</v>
      </c>
      <c r="D1879" s="472">
        <v>33.030999999999999</v>
      </c>
      <c r="E1879" s="522">
        <v>29.716999999999999</v>
      </c>
      <c r="F1879" s="523">
        <v>104</v>
      </c>
      <c r="G1879" s="524" t="s">
        <v>3663</v>
      </c>
      <c r="H1879" s="525" t="s">
        <v>3666</v>
      </c>
      <c r="I1879" s="474"/>
      <c r="J1879" s="475" t="s">
        <v>6073</v>
      </c>
    </row>
    <row r="1880" spans="1:10" ht="14.25" customHeight="1">
      <c r="A1880" s="587" t="s">
        <v>3017</v>
      </c>
      <c r="B1880" s="588" t="s">
        <v>3018</v>
      </c>
      <c r="C1880" s="528" t="s">
        <v>213</v>
      </c>
      <c r="D1880" s="472">
        <v>21.768000000000001</v>
      </c>
      <c r="E1880" s="522">
        <v>19.998000000000001</v>
      </c>
      <c r="F1880" s="523" t="s">
        <v>4166</v>
      </c>
      <c r="G1880" s="524" t="s">
        <v>3663</v>
      </c>
      <c r="H1880" s="525" t="s">
        <v>3666</v>
      </c>
      <c r="I1880" s="474"/>
      <c r="J1880" s="475" t="s">
        <v>6074</v>
      </c>
    </row>
    <row r="1881" spans="1:10" ht="14.25" customHeight="1">
      <c r="A1881" s="587" t="s">
        <v>3019</v>
      </c>
      <c r="B1881" s="588" t="s">
        <v>3020</v>
      </c>
      <c r="C1881" s="528" t="s">
        <v>213</v>
      </c>
      <c r="D1881" s="472">
        <v>21.768000000000001</v>
      </c>
      <c r="E1881" s="522">
        <v>19.998000000000001</v>
      </c>
      <c r="F1881" s="523" t="s">
        <v>4166</v>
      </c>
      <c r="G1881" s="524" t="s">
        <v>3663</v>
      </c>
      <c r="H1881" s="525" t="s">
        <v>3666</v>
      </c>
      <c r="I1881" s="474"/>
      <c r="J1881" s="475" t="s">
        <v>6075</v>
      </c>
    </row>
    <row r="1882" spans="1:10" ht="14.25" customHeight="1">
      <c r="A1882" s="587" t="s">
        <v>3021</v>
      </c>
      <c r="B1882" s="588" t="s">
        <v>3022</v>
      </c>
      <c r="C1882" s="528" t="s">
        <v>213</v>
      </c>
      <c r="D1882" s="472">
        <v>21.768000000000001</v>
      </c>
      <c r="E1882" s="522">
        <v>19.998000000000001</v>
      </c>
      <c r="F1882" s="523" t="s">
        <v>4166</v>
      </c>
      <c r="G1882" s="524" t="s">
        <v>3663</v>
      </c>
      <c r="H1882" s="525" t="s">
        <v>3666</v>
      </c>
      <c r="I1882" s="474"/>
      <c r="J1882" s="475" t="s">
        <v>6076</v>
      </c>
    </row>
    <row r="1883" spans="1:10" ht="14.25" customHeight="1">
      <c r="A1883" s="587" t="s">
        <v>3023</v>
      </c>
      <c r="B1883" s="588" t="s">
        <v>3024</v>
      </c>
      <c r="C1883" s="528" t="s">
        <v>213</v>
      </c>
      <c r="D1883" s="472">
        <v>21.768000000000001</v>
      </c>
      <c r="E1883" s="522">
        <v>19.998000000000001</v>
      </c>
      <c r="F1883" s="523" t="s">
        <v>4166</v>
      </c>
      <c r="G1883" s="524" t="s">
        <v>3663</v>
      </c>
      <c r="H1883" s="525" t="s">
        <v>3666</v>
      </c>
      <c r="I1883" s="474"/>
      <c r="J1883" s="475" t="s">
        <v>6077</v>
      </c>
    </row>
    <row r="1884" spans="1:10" ht="14.25" customHeight="1">
      <c r="A1884" s="587" t="s">
        <v>3025</v>
      </c>
      <c r="B1884" s="588" t="s">
        <v>3026</v>
      </c>
      <c r="C1884" s="528" t="s">
        <v>213</v>
      </c>
      <c r="D1884" s="472">
        <v>21.768000000000001</v>
      </c>
      <c r="E1884" s="522">
        <v>19.998000000000001</v>
      </c>
      <c r="F1884" s="523" t="s">
        <v>4166</v>
      </c>
      <c r="G1884" s="524" t="s">
        <v>3663</v>
      </c>
      <c r="H1884" s="525" t="s">
        <v>3666</v>
      </c>
      <c r="I1884" s="474"/>
      <c r="J1884" s="475" t="s">
        <v>6078</v>
      </c>
    </row>
    <row r="1885" spans="1:10" ht="14.25" customHeight="1">
      <c r="A1885" s="587" t="s">
        <v>3027</v>
      </c>
      <c r="B1885" s="588" t="s">
        <v>3028</v>
      </c>
      <c r="C1885" s="528" t="s">
        <v>213</v>
      </c>
      <c r="D1885" s="472">
        <v>21.768000000000001</v>
      </c>
      <c r="E1885" s="522">
        <v>19.998000000000001</v>
      </c>
      <c r="F1885" s="523" t="s">
        <v>4166</v>
      </c>
      <c r="G1885" s="524" t="s">
        <v>3663</v>
      </c>
      <c r="H1885" s="525" t="s">
        <v>3666</v>
      </c>
      <c r="I1885" s="474"/>
      <c r="J1885" s="475" t="s">
        <v>6079</v>
      </c>
    </row>
    <row r="1886" spans="1:10" ht="14.25" customHeight="1">
      <c r="A1886" s="587" t="s">
        <v>3029</v>
      </c>
      <c r="B1886" s="588" t="s">
        <v>3030</v>
      </c>
      <c r="C1886" s="528" t="s">
        <v>213</v>
      </c>
      <c r="D1886" s="472">
        <v>25.335999999999999</v>
      </c>
      <c r="E1886" s="522">
        <v>22.547999999999998</v>
      </c>
      <c r="F1886" s="523" t="s">
        <v>4166</v>
      </c>
      <c r="G1886" s="524" t="s">
        <v>3663</v>
      </c>
      <c r="H1886" s="525" t="s">
        <v>3666</v>
      </c>
      <c r="I1886" s="474"/>
      <c r="J1886" s="475" t="s">
        <v>6080</v>
      </c>
    </row>
    <row r="1887" spans="1:10" ht="14.25" customHeight="1">
      <c r="A1887" s="587" t="s">
        <v>4141</v>
      </c>
      <c r="B1887" s="588" t="s">
        <v>4142</v>
      </c>
      <c r="C1887" s="528" t="s">
        <v>213</v>
      </c>
      <c r="D1887" s="472">
        <v>25.335999999999999</v>
      </c>
      <c r="E1887" s="522">
        <v>22.547999999999998</v>
      </c>
      <c r="F1887" s="523" t="s">
        <v>4166</v>
      </c>
      <c r="G1887" s="524" t="s">
        <v>3663</v>
      </c>
      <c r="H1887" s="525" t="s">
        <v>3666</v>
      </c>
      <c r="I1887" s="474"/>
      <c r="J1887" s="475" t="s">
        <v>6081</v>
      </c>
    </row>
    <row r="1888" spans="1:10" ht="14.25" customHeight="1">
      <c r="A1888" s="587" t="s">
        <v>3031</v>
      </c>
      <c r="B1888" s="588" t="s">
        <v>3032</v>
      </c>
      <c r="C1888" s="528" t="s">
        <v>213</v>
      </c>
      <c r="D1888" s="472">
        <v>33.139000000000003</v>
      </c>
      <c r="E1888" s="522">
        <v>30.706</v>
      </c>
      <c r="F1888" s="523" t="s">
        <v>4166</v>
      </c>
      <c r="G1888" s="524" t="s">
        <v>3663</v>
      </c>
      <c r="H1888" s="525" t="s">
        <v>3666</v>
      </c>
      <c r="I1888" s="474"/>
      <c r="J1888" s="475" t="s">
        <v>6082</v>
      </c>
    </row>
    <row r="1889" spans="1:10" ht="14.25" customHeight="1">
      <c r="A1889" s="587" t="s">
        <v>3033</v>
      </c>
      <c r="B1889" s="588" t="s">
        <v>3034</v>
      </c>
      <c r="C1889" s="528" t="s">
        <v>213</v>
      </c>
      <c r="D1889" s="472">
        <v>33.139000000000003</v>
      </c>
      <c r="E1889" s="522">
        <v>30.706</v>
      </c>
      <c r="F1889" s="523" t="s">
        <v>4166</v>
      </c>
      <c r="G1889" s="524" t="s">
        <v>3663</v>
      </c>
      <c r="H1889" s="525" t="s">
        <v>3666</v>
      </c>
      <c r="I1889" s="474"/>
      <c r="J1889" s="475" t="s">
        <v>6083</v>
      </c>
    </row>
    <row r="1890" spans="1:10" ht="14.25" customHeight="1">
      <c r="A1890" s="587" t="s">
        <v>3035</v>
      </c>
      <c r="B1890" s="588" t="s">
        <v>3036</v>
      </c>
      <c r="C1890" s="528" t="s">
        <v>213</v>
      </c>
      <c r="D1890" s="472">
        <v>33.139000000000003</v>
      </c>
      <c r="E1890" s="522">
        <v>30.706</v>
      </c>
      <c r="F1890" s="523" t="s">
        <v>4166</v>
      </c>
      <c r="G1890" s="524" t="s">
        <v>3663</v>
      </c>
      <c r="H1890" s="525" t="s">
        <v>3666</v>
      </c>
      <c r="I1890" s="474"/>
      <c r="J1890" s="475" t="s">
        <v>6084</v>
      </c>
    </row>
    <row r="1891" spans="1:10" ht="14.25" customHeight="1">
      <c r="A1891" s="587" t="s">
        <v>3037</v>
      </c>
      <c r="B1891" s="589" t="s">
        <v>3038</v>
      </c>
      <c r="C1891" s="528" t="s">
        <v>213</v>
      </c>
      <c r="D1891" s="472">
        <v>33.139000000000003</v>
      </c>
      <c r="E1891" s="522">
        <v>30.706</v>
      </c>
      <c r="F1891" s="523" t="s">
        <v>4166</v>
      </c>
      <c r="G1891" s="524" t="s">
        <v>3663</v>
      </c>
      <c r="H1891" s="525" t="s">
        <v>3666</v>
      </c>
      <c r="I1891" s="474"/>
      <c r="J1891" s="475" t="s">
        <v>6085</v>
      </c>
    </row>
    <row r="1892" spans="1:10" ht="14.25" customHeight="1">
      <c r="A1892" s="587" t="s">
        <v>3039</v>
      </c>
      <c r="B1892" s="588" t="s">
        <v>3040</v>
      </c>
      <c r="C1892" s="528" t="s">
        <v>213</v>
      </c>
      <c r="D1892" s="472">
        <v>36.707000000000001</v>
      </c>
      <c r="E1892" s="522">
        <v>33.256999999999998</v>
      </c>
      <c r="F1892" s="523" t="s">
        <v>4166</v>
      </c>
      <c r="G1892" s="524" t="s">
        <v>3663</v>
      </c>
      <c r="H1892" s="525" t="s">
        <v>3666</v>
      </c>
      <c r="I1892" s="474"/>
      <c r="J1892" s="475" t="s">
        <v>6086</v>
      </c>
    </row>
    <row r="1893" spans="1:10" ht="14.25" customHeight="1">
      <c r="A1893" s="539" t="s">
        <v>4143</v>
      </c>
      <c r="B1893" s="539" t="s">
        <v>4144</v>
      </c>
      <c r="C1893" s="520" t="s">
        <v>181</v>
      </c>
      <c r="D1893" s="472">
        <v>0</v>
      </c>
      <c r="E1893" s="522">
        <v>0</v>
      </c>
      <c r="F1893" s="523" t="s">
        <v>4166</v>
      </c>
      <c r="G1893" s="524" t="s">
        <v>3663</v>
      </c>
      <c r="H1893" s="525" t="s">
        <v>3666</v>
      </c>
      <c r="I1893" s="474"/>
      <c r="J1893" s="475" t="s">
        <v>6087</v>
      </c>
    </row>
    <row r="1894" spans="1:10" ht="14.25" customHeight="1">
      <c r="A1894" s="520" t="s">
        <v>3041</v>
      </c>
      <c r="B1894" s="521" t="s">
        <v>3042</v>
      </c>
      <c r="C1894" s="520" t="s">
        <v>181</v>
      </c>
      <c r="D1894" s="472">
        <v>14.492000000000001</v>
      </c>
      <c r="E1894" s="522">
        <v>14.829000000000001</v>
      </c>
      <c r="F1894" s="523" t="s">
        <v>4166</v>
      </c>
      <c r="G1894" s="524" t="s">
        <v>3663</v>
      </c>
      <c r="H1894" s="525" t="s">
        <v>3666</v>
      </c>
      <c r="I1894" s="474"/>
      <c r="J1894" s="475" t="s">
        <v>6088</v>
      </c>
    </row>
    <row r="1895" spans="1:10" ht="14.25" customHeight="1">
      <c r="A1895" s="520" t="s">
        <v>3043</v>
      </c>
      <c r="B1895" s="521" t="s">
        <v>3044</v>
      </c>
      <c r="C1895" s="520" t="s">
        <v>181</v>
      </c>
      <c r="D1895" s="472">
        <v>14.492000000000001</v>
      </c>
      <c r="E1895" s="522">
        <v>14.829000000000001</v>
      </c>
      <c r="F1895" s="523" t="s">
        <v>4166</v>
      </c>
      <c r="G1895" s="524" t="s">
        <v>3663</v>
      </c>
      <c r="H1895" s="525" t="s">
        <v>3666</v>
      </c>
      <c r="I1895" s="474"/>
      <c r="J1895" s="475" t="s">
        <v>6089</v>
      </c>
    </row>
    <row r="1896" spans="1:10" ht="14.25" customHeight="1">
      <c r="A1896" s="520" t="s">
        <v>3045</v>
      </c>
      <c r="B1896" s="521" t="s">
        <v>3046</v>
      </c>
      <c r="C1896" s="520" t="s">
        <v>181</v>
      </c>
      <c r="D1896" s="472">
        <v>13.457000000000001</v>
      </c>
      <c r="E1896" s="522">
        <v>13.769</v>
      </c>
      <c r="F1896" s="523" t="s">
        <v>4166</v>
      </c>
      <c r="G1896" s="524" t="s">
        <v>3663</v>
      </c>
      <c r="H1896" s="525" t="s">
        <v>3666</v>
      </c>
      <c r="I1896" s="474"/>
      <c r="J1896" s="475" t="s">
        <v>6090</v>
      </c>
    </row>
    <row r="1897" spans="1:10" ht="14.25" customHeight="1">
      <c r="A1897" s="520" t="s">
        <v>3047</v>
      </c>
      <c r="B1897" s="521" t="s">
        <v>3048</v>
      </c>
      <c r="C1897" s="520" t="s">
        <v>181</v>
      </c>
      <c r="D1897" s="472">
        <v>13.457000000000001</v>
      </c>
      <c r="E1897" s="522">
        <v>13.769</v>
      </c>
      <c r="F1897" s="523" t="s">
        <v>4166</v>
      </c>
      <c r="G1897" s="524" t="s">
        <v>3663</v>
      </c>
      <c r="H1897" s="525" t="s">
        <v>3666</v>
      </c>
      <c r="I1897" s="474"/>
      <c r="J1897" s="475" t="s">
        <v>6091</v>
      </c>
    </row>
    <row r="1898" spans="1:10" ht="14.25" customHeight="1">
      <c r="A1898" s="520" t="s">
        <v>4145</v>
      </c>
      <c r="B1898" s="521" t="s">
        <v>6092</v>
      </c>
      <c r="C1898" s="520" t="s">
        <v>181</v>
      </c>
      <c r="D1898" s="472">
        <v>43.57</v>
      </c>
      <c r="E1898" s="522">
        <v>35.664999999999999</v>
      </c>
      <c r="F1898" s="523" t="s">
        <v>4166</v>
      </c>
      <c r="G1898" s="524" t="s">
        <v>3663</v>
      </c>
      <c r="H1898" s="525" t="s">
        <v>3666</v>
      </c>
      <c r="I1898" s="474"/>
      <c r="J1898" s="475" t="s">
        <v>6093</v>
      </c>
    </row>
    <row r="1899" spans="1:10" ht="14.25" customHeight="1">
      <c r="A1899" s="590" t="s">
        <v>4146</v>
      </c>
      <c r="B1899" s="567" t="s">
        <v>4147</v>
      </c>
      <c r="C1899" s="520" t="s">
        <v>213</v>
      </c>
      <c r="D1899" s="472">
        <v>48.578000000000003</v>
      </c>
      <c r="E1899" s="522">
        <v>41.35</v>
      </c>
      <c r="F1899" s="523" t="s">
        <v>4166</v>
      </c>
      <c r="G1899" s="524" t="s">
        <v>3663</v>
      </c>
      <c r="H1899" s="525" t="s">
        <v>3666</v>
      </c>
      <c r="I1899" s="474"/>
      <c r="J1899" s="475" t="s">
        <v>6094</v>
      </c>
    </row>
    <row r="1900" spans="1:10" ht="14.25" customHeight="1">
      <c r="A1900" s="590" t="s">
        <v>4148</v>
      </c>
      <c r="B1900" s="567" t="s">
        <v>4149</v>
      </c>
      <c r="C1900" s="520" t="s">
        <v>213</v>
      </c>
      <c r="D1900" s="472">
        <v>121.44499999999999</v>
      </c>
      <c r="E1900" s="522">
        <v>103.376</v>
      </c>
      <c r="F1900" s="523" t="s">
        <v>4166</v>
      </c>
      <c r="G1900" s="524" t="s">
        <v>3663</v>
      </c>
      <c r="H1900" s="525" t="s">
        <v>3666</v>
      </c>
      <c r="I1900" s="474"/>
      <c r="J1900" s="475" t="s">
        <v>6095</v>
      </c>
    </row>
    <row r="1901" spans="1:10" ht="14.25" customHeight="1">
      <c r="A1901" s="520" t="s">
        <v>3049</v>
      </c>
      <c r="B1901" s="521" t="s">
        <v>4150</v>
      </c>
      <c r="C1901" s="520" t="s">
        <v>213</v>
      </c>
      <c r="D1901" s="472">
        <v>0.372</v>
      </c>
      <c r="E1901" s="522">
        <v>0.34699999999999998</v>
      </c>
      <c r="F1901" s="523" t="s">
        <v>4166</v>
      </c>
      <c r="G1901" s="526" t="s">
        <v>3668</v>
      </c>
      <c r="H1901" s="525" t="s">
        <v>3669</v>
      </c>
      <c r="I1901" s="474">
        <v>4016.93</v>
      </c>
      <c r="J1901" s="475" t="s">
        <v>6096</v>
      </c>
    </row>
    <row r="1902" spans="1:10" ht="14.25" customHeight="1">
      <c r="A1902" s="520" t="s">
        <v>3050</v>
      </c>
      <c r="B1902" s="521" t="s">
        <v>4151</v>
      </c>
      <c r="C1902" s="520" t="s">
        <v>213</v>
      </c>
      <c r="D1902" s="472">
        <v>0.313</v>
      </c>
      <c r="E1902" s="522">
        <v>0.29099999999999998</v>
      </c>
      <c r="F1902" s="523" t="s">
        <v>4166</v>
      </c>
      <c r="G1902" s="526" t="s">
        <v>3668</v>
      </c>
      <c r="H1902" s="525" t="s">
        <v>3669</v>
      </c>
      <c r="I1902" s="474">
        <v>4016.93</v>
      </c>
      <c r="J1902" s="475" t="s">
        <v>6097</v>
      </c>
    </row>
    <row r="1903" spans="1:10" ht="14.25" customHeight="1">
      <c r="A1903" s="520" t="s">
        <v>3051</v>
      </c>
      <c r="B1903" s="521" t="s">
        <v>3052</v>
      </c>
      <c r="C1903" s="520" t="s">
        <v>197</v>
      </c>
      <c r="D1903" s="472">
        <v>16.312999999999999</v>
      </c>
      <c r="E1903" s="522">
        <v>15.206</v>
      </c>
      <c r="F1903" s="523" t="s">
        <v>4166</v>
      </c>
      <c r="G1903" s="524" t="s">
        <v>3663</v>
      </c>
      <c r="H1903" s="525" t="s">
        <v>3666</v>
      </c>
      <c r="I1903" s="474"/>
      <c r="J1903" s="475" t="s">
        <v>6098</v>
      </c>
    </row>
    <row r="1904" spans="1:10" ht="14.25" customHeight="1">
      <c r="A1904" s="575" t="s">
        <v>4152</v>
      </c>
      <c r="B1904" s="576" t="s">
        <v>4153</v>
      </c>
      <c r="C1904" s="575" t="s">
        <v>213</v>
      </c>
      <c r="D1904" s="472">
        <v>9.74</v>
      </c>
      <c r="E1904" s="522">
        <v>9.0050000000000008</v>
      </c>
      <c r="F1904" s="523" t="s">
        <v>4166</v>
      </c>
      <c r="G1904" s="524" t="s">
        <v>3663</v>
      </c>
      <c r="H1904" s="525" t="s">
        <v>3666</v>
      </c>
      <c r="I1904" s="474"/>
      <c r="J1904" s="475" t="s">
        <v>6099</v>
      </c>
    </row>
    <row r="1905" spans="1:10" ht="14.25" customHeight="1">
      <c r="A1905" s="520" t="s">
        <v>4154</v>
      </c>
      <c r="B1905" s="521" t="s">
        <v>4155</v>
      </c>
      <c r="C1905" s="520" t="s">
        <v>213</v>
      </c>
      <c r="D1905" s="472">
        <v>1.675</v>
      </c>
      <c r="E1905" s="522">
        <v>1.548</v>
      </c>
      <c r="F1905" s="523" t="s">
        <v>4166</v>
      </c>
      <c r="G1905" s="524" t="s">
        <v>3663</v>
      </c>
      <c r="H1905" s="525" t="s">
        <v>3666</v>
      </c>
      <c r="I1905" s="474"/>
      <c r="J1905" s="475" t="s">
        <v>6100</v>
      </c>
    </row>
    <row r="1906" spans="1:10" ht="14.25" customHeight="1">
      <c r="A1906" s="520" t="s">
        <v>3053</v>
      </c>
      <c r="B1906" s="521" t="s">
        <v>3054</v>
      </c>
      <c r="C1906" s="520" t="s">
        <v>197</v>
      </c>
      <c r="D1906" s="472">
        <v>165.251</v>
      </c>
      <c r="E1906" s="522">
        <v>152.18</v>
      </c>
      <c r="F1906" s="523" t="s">
        <v>4166</v>
      </c>
      <c r="G1906" s="524" t="s">
        <v>3663</v>
      </c>
      <c r="H1906" s="525" t="s">
        <v>3666</v>
      </c>
      <c r="I1906" s="474"/>
      <c r="J1906" s="475" t="s">
        <v>6101</v>
      </c>
    </row>
    <row r="1907" spans="1:10" ht="14.25" customHeight="1">
      <c r="A1907" s="520" t="s">
        <v>3055</v>
      </c>
      <c r="B1907" s="521" t="s">
        <v>3056</v>
      </c>
      <c r="C1907" s="520" t="s">
        <v>197</v>
      </c>
      <c r="D1907" s="472">
        <v>165.251</v>
      </c>
      <c r="E1907" s="522">
        <v>152.18</v>
      </c>
      <c r="F1907" s="523" t="s">
        <v>4166</v>
      </c>
      <c r="G1907" s="524" t="s">
        <v>3663</v>
      </c>
      <c r="H1907" s="525" t="s">
        <v>3666</v>
      </c>
      <c r="I1907" s="474"/>
      <c r="J1907" s="475" t="s">
        <v>6102</v>
      </c>
    </row>
    <row r="1908" spans="1:10" ht="14.25" customHeight="1">
      <c r="A1908" s="520" t="s">
        <v>3057</v>
      </c>
      <c r="B1908" s="521" t="s">
        <v>3058</v>
      </c>
      <c r="C1908" s="520" t="s">
        <v>197</v>
      </c>
      <c r="D1908" s="472">
        <v>165.251</v>
      </c>
      <c r="E1908" s="522">
        <v>152.18</v>
      </c>
      <c r="F1908" s="523" t="s">
        <v>4166</v>
      </c>
      <c r="G1908" s="524" t="s">
        <v>3663</v>
      </c>
      <c r="H1908" s="525" t="s">
        <v>3666</v>
      </c>
      <c r="I1908" s="474"/>
      <c r="J1908" s="475" t="s">
        <v>6103</v>
      </c>
    </row>
    <row r="1909" spans="1:10" ht="14.25" customHeight="1">
      <c r="A1909" s="520" t="s">
        <v>3059</v>
      </c>
      <c r="B1909" s="521" t="s">
        <v>3060</v>
      </c>
      <c r="C1909" s="520" t="s">
        <v>197</v>
      </c>
      <c r="D1909" s="472">
        <v>194.804</v>
      </c>
      <c r="E1909" s="522">
        <v>179.39500000000001</v>
      </c>
      <c r="F1909" s="523" t="s">
        <v>4166</v>
      </c>
      <c r="G1909" s="524" t="s">
        <v>3663</v>
      </c>
      <c r="H1909" s="525" t="s">
        <v>3666</v>
      </c>
      <c r="I1909" s="474"/>
      <c r="J1909" s="475" t="s">
        <v>6104</v>
      </c>
    </row>
    <row r="1910" spans="1:10" ht="14.25" customHeight="1">
      <c r="A1910" s="520" t="s">
        <v>3061</v>
      </c>
      <c r="B1910" s="521" t="s">
        <v>3062</v>
      </c>
      <c r="C1910" s="520" t="s">
        <v>197</v>
      </c>
      <c r="D1910" s="472">
        <v>194.804</v>
      </c>
      <c r="E1910" s="522">
        <v>179.39500000000001</v>
      </c>
      <c r="F1910" s="523" t="s">
        <v>4166</v>
      </c>
      <c r="G1910" s="524" t="s">
        <v>3663</v>
      </c>
      <c r="H1910" s="525" t="s">
        <v>3666</v>
      </c>
      <c r="I1910" s="474"/>
      <c r="J1910" s="475" t="s">
        <v>6105</v>
      </c>
    </row>
    <row r="1911" spans="1:10" ht="14.25" customHeight="1">
      <c r="A1911" s="520" t="s">
        <v>3063</v>
      </c>
      <c r="B1911" s="521" t="s">
        <v>3064</v>
      </c>
      <c r="C1911" s="520" t="s">
        <v>197</v>
      </c>
      <c r="D1911" s="472">
        <v>194.804</v>
      </c>
      <c r="E1911" s="522">
        <v>179.39500000000001</v>
      </c>
      <c r="F1911" s="523" t="s">
        <v>4166</v>
      </c>
      <c r="G1911" s="524" t="s">
        <v>3663</v>
      </c>
      <c r="H1911" s="525" t="s">
        <v>3666</v>
      </c>
      <c r="I1911" s="474"/>
      <c r="J1911" s="475" t="s">
        <v>6106</v>
      </c>
    </row>
    <row r="1912" spans="1:10" ht="14.25" customHeight="1">
      <c r="A1912" s="520" t="s">
        <v>3065</v>
      </c>
      <c r="B1912" s="521" t="s">
        <v>3066</v>
      </c>
      <c r="C1912" s="520" t="s">
        <v>197</v>
      </c>
      <c r="D1912" s="472">
        <v>264.16899999999998</v>
      </c>
      <c r="E1912" s="522">
        <v>243.27199999999999</v>
      </c>
      <c r="F1912" s="523" t="s">
        <v>4166</v>
      </c>
      <c r="G1912" s="524" t="s">
        <v>3663</v>
      </c>
      <c r="H1912" s="525" t="s">
        <v>3666</v>
      </c>
      <c r="I1912" s="474"/>
      <c r="J1912" s="475" t="s">
        <v>6107</v>
      </c>
    </row>
    <row r="1913" spans="1:10" ht="14.25" customHeight="1">
      <c r="A1913" s="520" t="s">
        <v>3067</v>
      </c>
      <c r="B1913" s="521" t="s">
        <v>3068</v>
      </c>
      <c r="C1913" s="520" t="s">
        <v>197</v>
      </c>
      <c r="D1913" s="472">
        <v>264.16899999999998</v>
      </c>
      <c r="E1913" s="522">
        <v>243.27199999999999</v>
      </c>
      <c r="F1913" s="523" t="s">
        <v>4166</v>
      </c>
      <c r="G1913" s="524" t="s">
        <v>3663</v>
      </c>
      <c r="H1913" s="525" t="s">
        <v>3666</v>
      </c>
      <c r="I1913" s="474"/>
      <c r="J1913" s="475" t="s">
        <v>6108</v>
      </c>
    </row>
    <row r="1914" spans="1:10" ht="14.25" customHeight="1">
      <c r="A1914" s="520" t="s">
        <v>3069</v>
      </c>
      <c r="B1914" s="521" t="s">
        <v>3070</v>
      </c>
      <c r="C1914" s="520" t="s">
        <v>197</v>
      </c>
      <c r="D1914" s="472">
        <v>264.16899999999998</v>
      </c>
      <c r="E1914" s="522">
        <v>243.27199999999999</v>
      </c>
      <c r="F1914" s="523" t="s">
        <v>4166</v>
      </c>
      <c r="G1914" s="524" t="s">
        <v>3663</v>
      </c>
      <c r="H1914" s="525" t="s">
        <v>3666</v>
      </c>
      <c r="I1914" s="474"/>
      <c r="J1914" s="475" t="s">
        <v>6109</v>
      </c>
    </row>
    <row r="1915" spans="1:10" ht="14.25" customHeight="1">
      <c r="A1915" s="520" t="s">
        <v>3071</v>
      </c>
      <c r="B1915" s="521" t="s">
        <v>3072</v>
      </c>
      <c r="C1915" s="520" t="s">
        <v>197</v>
      </c>
      <c r="D1915" s="472">
        <v>264.16899999999998</v>
      </c>
      <c r="E1915" s="522">
        <v>243.27199999999999</v>
      </c>
      <c r="F1915" s="523" t="s">
        <v>4166</v>
      </c>
      <c r="G1915" s="524" t="s">
        <v>3663</v>
      </c>
      <c r="H1915" s="525" t="s">
        <v>3666</v>
      </c>
      <c r="I1915" s="474"/>
      <c r="J1915" s="475" t="s">
        <v>6110</v>
      </c>
    </row>
    <row r="1916" spans="1:10" ht="14.25" customHeight="1">
      <c r="A1916" s="520" t="s">
        <v>3073</v>
      </c>
      <c r="B1916" s="521" t="s">
        <v>3074</v>
      </c>
      <c r="C1916" s="520" t="s">
        <v>197</v>
      </c>
      <c r="D1916" s="472">
        <v>316.08800000000002</v>
      </c>
      <c r="E1916" s="522">
        <v>291.08499999999998</v>
      </c>
      <c r="F1916" s="523" t="s">
        <v>4166</v>
      </c>
      <c r="G1916" s="524" t="s">
        <v>3663</v>
      </c>
      <c r="H1916" s="525" t="s">
        <v>3666</v>
      </c>
      <c r="I1916" s="474"/>
      <c r="J1916" s="475" t="s">
        <v>6111</v>
      </c>
    </row>
    <row r="1917" spans="1:10" ht="14.25" customHeight="1">
      <c r="A1917" s="520" t="s">
        <v>3075</v>
      </c>
      <c r="B1917" s="521" t="s">
        <v>3076</v>
      </c>
      <c r="C1917" s="520" t="s">
        <v>197</v>
      </c>
      <c r="D1917" s="472">
        <v>316.08800000000002</v>
      </c>
      <c r="E1917" s="522">
        <v>291.08499999999998</v>
      </c>
      <c r="F1917" s="523" t="s">
        <v>4166</v>
      </c>
      <c r="G1917" s="524" t="s">
        <v>3663</v>
      </c>
      <c r="H1917" s="525" t="s">
        <v>3666</v>
      </c>
      <c r="I1917" s="474"/>
      <c r="J1917" s="475" t="s">
        <v>6112</v>
      </c>
    </row>
    <row r="1918" spans="1:10" ht="14.25" customHeight="1">
      <c r="A1918" s="520" t="s">
        <v>3077</v>
      </c>
      <c r="B1918" s="521" t="s">
        <v>3078</v>
      </c>
      <c r="C1918" s="520" t="s">
        <v>197</v>
      </c>
      <c r="D1918" s="472">
        <v>316.08800000000002</v>
      </c>
      <c r="E1918" s="522">
        <v>291.08499999999998</v>
      </c>
      <c r="F1918" s="523" t="s">
        <v>4166</v>
      </c>
      <c r="G1918" s="524" t="s">
        <v>3663</v>
      </c>
      <c r="H1918" s="525" t="s">
        <v>3666</v>
      </c>
      <c r="I1918" s="474"/>
      <c r="J1918" s="475" t="s">
        <v>6113</v>
      </c>
    </row>
    <row r="1919" spans="1:10" ht="14.25" customHeight="1">
      <c r="A1919" s="520" t="s">
        <v>3079</v>
      </c>
      <c r="B1919" s="521" t="s">
        <v>3080</v>
      </c>
      <c r="C1919" s="520" t="s">
        <v>197</v>
      </c>
      <c r="D1919" s="472">
        <v>316.08800000000002</v>
      </c>
      <c r="E1919" s="522">
        <v>291.08499999999998</v>
      </c>
      <c r="F1919" s="523" t="s">
        <v>4166</v>
      </c>
      <c r="G1919" s="524" t="s">
        <v>3663</v>
      </c>
      <c r="H1919" s="525" t="s">
        <v>3666</v>
      </c>
      <c r="I1919" s="474"/>
      <c r="J1919" s="475" t="s">
        <v>6114</v>
      </c>
    </row>
    <row r="1920" spans="1:10" ht="14.25" customHeight="1">
      <c r="A1920" s="520" t="s">
        <v>3081</v>
      </c>
      <c r="B1920" s="521" t="s">
        <v>3082</v>
      </c>
      <c r="C1920" s="520" t="s">
        <v>197</v>
      </c>
      <c r="D1920" s="472">
        <v>364.83300000000003</v>
      </c>
      <c r="E1920" s="522">
        <v>335.97300000000001</v>
      </c>
      <c r="F1920" s="523" t="s">
        <v>4166</v>
      </c>
      <c r="G1920" s="524" t="s">
        <v>3663</v>
      </c>
      <c r="H1920" s="525" t="s">
        <v>3666</v>
      </c>
      <c r="I1920" s="474"/>
      <c r="J1920" s="475" t="s">
        <v>6115</v>
      </c>
    </row>
    <row r="1921" spans="1:10" ht="14.25" customHeight="1">
      <c r="A1921" s="520" t="s">
        <v>3083</v>
      </c>
      <c r="B1921" s="521" t="s">
        <v>3084</v>
      </c>
      <c r="C1921" s="520" t="s">
        <v>197</v>
      </c>
      <c r="D1921" s="472">
        <v>364.83300000000003</v>
      </c>
      <c r="E1921" s="522">
        <v>335.97300000000001</v>
      </c>
      <c r="F1921" s="523" t="s">
        <v>4166</v>
      </c>
      <c r="G1921" s="524" t="s">
        <v>3663</v>
      </c>
      <c r="H1921" s="525" t="s">
        <v>3666</v>
      </c>
      <c r="I1921" s="474"/>
      <c r="J1921" s="475" t="s">
        <v>6116</v>
      </c>
    </row>
    <row r="1922" spans="1:10" ht="14.25" customHeight="1">
      <c r="A1922" s="520" t="s">
        <v>3085</v>
      </c>
      <c r="B1922" s="521" t="s">
        <v>3086</v>
      </c>
      <c r="C1922" s="520" t="s">
        <v>197</v>
      </c>
      <c r="D1922" s="472">
        <v>364.83300000000003</v>
      </c>
      <c r="E1922" s="522">
        <v>335.97300000000001</v>
      </c>
      <c r="F1922" s="523" t="s">
        <v>4166</v>
      </c>
      <c r="G1922" s="524" t="s">
        <v>3663</v>
      </c>
      <c r="H1922" s="525" t="s">
        <v>3666</v>
      </c>
      <c r="I1922" s="474"/>
      <c r="J1922" s="475" t="s">
        <v>6117</v>
      </c>
    </row>
    <row r="1923" spans="1:10" ht="14.25" customHeight="1">
      <c r="A1923" s="520" t="s">
        <v>3087</v>
      </c>
      <c r="B1923" s="521" t="s">
        <v>3088</v>
      </c>
      <c r="C1923" s="520" t="s">
        <v>197</v>
      </c>
      <c r="D1923" s="472">
        <v>364.83300000000003</v>
      </c>
      <c r="E1923" s="522">
        <v>335.97300000000001</v>
      </c>
      <c r="F1923" s="523" t="s">
        <v>4166</v>
      </c>
      <c r="G1923" s="524" t="s">
        <v>3663</v>
      </c>
      <c r="H1923" s="525" t="s">
        <v>3666</v>
      </c>
      <c r="I1923" s="474"/>
      <c r="J1923" s="475" t="s">
        <v>6118</v>
      </c>
    </row>
    <row r="1924" spans="1:10" ht="14.25" customHeight="1">
      <c r="A1924" s="520" t="s">
        <v>3089</v>
      </c>
      <c r="B1924" s="521" t="s">
        <v>3090</v>
      </c>
      <c r="C1924" s="520" t="s">
        <v>197</v>
      </c>
      <c r="D1924" s="472">
        <v>436.60700000000003</v>
      </c>
      <c r="E1924" s="522">
        <v>402.07100000000003</v>
      </c>
      <c r="F1924" s="523" t="s">
        <v>4166</v>
      </c>
      <c r="G1924" s="524" t="s">
        <v>3663</v>
      </c>
      <c r="H1924" s="525" t="s">
        <v>3666</v>
      </c>
      <c r="I1924" s="474"/>
      <c r="J1924" s="475" t="s">
        <v>6119</v>
      </c>
    </row>
    <row r="1925" spans="1:10" ht="14.25" customHeight="1">
      <c r="A1925" s="520" t="s">
        <v>3091</v>
      </c>
      <c r="B1925" s="521" t="s">
        <v>3092</v>
      </c>
      <c r="C1925" s="520" t="s">
        <v>197</v>
      </c>
      <c r="D1925" s="472">
        <v>436.60700000000003</v>
      </c>
      <c r="E1925" s="522">
        <v>402.07100000000003</v>
      </c>
      <c r="F1925" s="523" t="s">
        <v>4166</v>
      </c>
      <c r="G1925" s="524" t="s">
        <v>3663</v>
      </c>
      <c r="H1925" s="525" t="s">
        <v>3666</v>
      </c>
      <c r="I1925" s="474"/>
      <c r="J1925" s="475" t="s">
        <v>6120</v>
      </c>
    </row>
    <row r="1926" spans="1:10" ht="14.25" customHeight="1">
      <c r="A1926" s="520" t="s">
        <v>3093</v>
      </c>
      <c r="B1926" s="521" t="s">
        <v>3094</v>
      </c>
      <c r="C1926" s="520" t="s">
        <v>197</v>
      </c>
      <c r="D1926" s="472">
        <v>436.60700000000003</v>
      </c>
      <c r="E1926" s="522">
        <v>402.07100000000003</v>
      </c>
      <c r="F1926" s="523" t="s">
        <v>4166</v>
      </c>
      <c r="G1926" s="524" t="s">
        <v>3663</v>
      </c>
      <c r="H1926" s="525" t="s">
        <v>3666</v>
      </c>
      <c r="I1926" s="474"/>
      <c r="J1926" s="475" t="s">
        <v>6121</v>
      </c>
    </row>
    <row r="1927" spans="1:10" ht="14.25" customHeight="1">
      <c r="A1927" s="591" t="s">
        <v>3095</v>
      </c>
      <c r="B1927" s="592" t="s">
        <v>3096</v>
      </c>
      <c r="C1927" s="591" t="s">
        <v>197</v>
      </c>
      <c r="D1927" s="472">
        <v>436.60700000000003</v>
      </c>
      <c r="E1927" s="522">
        <v>402.07100000000003</v>
      </c>
      <c r="F1927" s="593" t="s">
        <v>4166</v>
      </c>
      <c r="G1927" s="594" t="s">
        <v>3663</v>
      </c>
      <c r="H1927" s="595" t="s">
        <v>3666</v>
      </c>
      <c r="I1927" s="474"/>
      <c r="J1927" s="475" t="s">
        <v>6122</v>
      </c>
    </row>
    <row r="1931" spans="1:10" ht="15" customHeight="1">
      <c r="D1931" s="479"/>
    </row>
  </sheetData>
  <mergeCells count="1">
    <mergeCell ref="G3: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CB01-8E95-4618-8FE2-B430A814F0D0}">
  <dimension ref="A1:AK119"/>
  <sheetViews>
    <sheetView zoomScaleNormal="100" workbookViewId="0">
      <selection activeCell="A5" sqref="A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10" width="13.140625" style="8" customWidth="1"/>
    <col min="11" max="11" width="6.7109375" style="8" bestFit="1" customWidth="1"/>
    <col min="12" max="12" width="5.5703125" style="8" bestFit="1" customWidth="1"/>
    <col min="13" max="13" width="24.85546875" style="8" customWidth="1"/>
    <col min="14" max="14" width="16.140625" style="8" customWidth="1"/>
    <col min="15" max="15" width="24.5703125" style="8" customWidth="1"/>
    <col min="16" max="16" width="18.85546875" style="8" customWidth="1"/>
    <col min="17" max="17" width="16" style="8" customWidth="1"/>
    <col min="18" max="18" width="20" style="8" customWidth="1"/>
    <col min="19" max="19" width="20.28515625" style="8" customWidth="1"/>
    <col min="20" max="20" width="23.85546875" style="8" customWidth="1"/>
    <col min="21" max="21" width="16.42578125" style="8" customWidth="1"/>
    <col min="22" max="22" width="23.42578125" style="8" customWidth="1"/>
    <col min="23" max="23" width="12.85546875" style="8" customWidth="1"/>
    <col min="24" max="24" width="11.140625" style="8" bestFit="1" customWidth="1"/>
    <col min="25" max="25" width="14.5703125" style="8" customWidth="1"/>
    <col min="26" max="27" width="9.140625" style="8"/>
    <col min="28" max="28" width="12.28515625" style="8" bestFit="1" customWidth="1"/>
    <col min="29" max="30" width="9.140625" style="8"/>
    <col min="31" max="31" width="12" style="8" bestFit="1" customWidth="1"/>
    <col min="32" max="16384" width="9.140625" style="8"/>
  </cols>
  <sheetData>
    <row r="1" spans="1:37" ht="33.75">
      <c r="A1" s="61" t="s">
        <v>3654</v>
      </c>
      <c r="B1" s="14"/>
      <c r="C1" s="14"/>
      <c r="D1" s="14"/>
      <c r="E1" s="14"/>
      <c r="F1" s="14"/>
      <c r="G1" s="14"/>
      <c r="H1" s="14"/>
    </row>
    <row r="2" spans="1:37" ht="21">
      <c r="A2" s="669" t="str">
        <f>CONCATENATE(A3, " Setup")</f>
        <v>Product 1 Setup</v>
      </c>
      <c r="B2" s="669"/>
      <c r="C2" s="669"/>
      <c r="D2" s="669"/>
      <c r="E2" s="669"/>
      <c r="F2" s="669"/>
      <c r="G2" s="669"/>
      <c r="H2" s="669"/>
    </row>
    <row r="3" spans="1:37" s="9" customFormat="1">
      <c r="A3" s="62" t="str">
        <f>IF(A5="","Product 1",A5)</f>
        <v>Product 1</v>
      </c>
      <c r="B3" s="673" t="s">
        <v>119</v>
      </c>
      <c r="C3" s="673"/>
      <c r="D3" s="673"/>
      <c r="E3" s="18"/>
      <c r="F3" s="18"/>
      <c r="G3" s="15"/>
      <c r="H3" s="15"/>
    </row>
    <row r="4" spans="1:37" s="9" customFormat="1" ht="30" customHeight="1">
      <c r="A4" s="92" t="s">
        <v>31</v>
      </c>
      <c r="B4" s="662" t="s">
        <v>110</v>
      </c>
      <c r="C4" s="663"/>
      <c r="D4" s="664"/>
      <c r="E4" s="92" t="s">
        <v>8</v>
      </c>
      <c r="F4" s="92" t="s">
        <v>10</v>
      </c>
      <c r="G4" s="651" t="s">
        <v>3480</v>
      </c>
      <c r="H4" s="651"/>
    </row>
    <row r="5" spans="1:37" s="9" customFormat="1">
      <c r="A5" s="93"/>
      <c r="B5" s="93"/>
      <c r="C5" s="93"/>
      <c r="D5" s="93"/>
      <c r="E5" s="93"/>
      <c r="F5" s="93"/>
      <c r="G5" s="93"/>
      <c r="H5" s="93"/>
    </row>
    <row r="6" spans="1:37" s="9" customFormat="1" ht="106.5" customHeight="1">
      <c r="A6" s="90" t="s">
        <v>13</v>
      </c>
      <c r="B6" s="90" t="s">
        <v>113</v>
      </c>
      <c r="C6" s="90" t="s">
        <v>117</v>
      </c>
      <c r="D6" s="90" t="s">
        <v>118</v>
      </c>
      <c r="E6" s="90" t="s">
        <v>112</v>
      </c>
      <c r="F6" s="90" t="s">
        <v>3471</v>
      </c>
      <c r="G6" s="91" t="s">
        <v>0</v>
      </c>
      <c r="H6" s="91" t="s">
        <v>1</v>
      </c>
    </row>
    <row r="7" spans="1:37" hidden="1">
      <c r="A7" s="129"/>
      <c r="B7" s="130" t="s">
        <v>120</v>
      </c>
      <c r="C7" s="130"/>
      <c r="D7" s="131">
        <f>IF(MAX(B8:D8)=0,1,MAX(B8:D8))</f>
        <v>1</v>
      </c>
      <c r="E7" s="129"/>
      <c r="F7" s="129"/>
      <c r="G7" s="129"/>
      <c r="H7" s="129"/>
    </row>
    <row r="8" spans="1:37" hidden="1">
      <c r="A8" s="132"/>
      <c r="B8" s="133">
        <f>SQRT(B5/1)</f>
        <v>0</v>
      </c>
      <c r="C8" s="133">
        <f>SQRT(C5/8.34)</f>
        <v>0</v>
      </c>
      <c r="D8" s="133">
        <f>SQRT(D5)</f>
        <v>0</v>
      </c>
      <c r="E8" s="132"/>
      <c r="F8" s="129"/>
      <c r="G8" s="129"/>
      <c r="H8" s="129"/>
    </row>
    <row r="9" spans="1:37" ht="21" customHeight="1">
      <c r="A9" s="670" t="str">
        <f>CONCATENATE("Primary Flow Rate For ",A3)</f>
        <v>Primary Flow Rate For Product 1</v>
      </c>
      <c r="B9" s="671"/>
      <c r="C9" s="671"/>
      <c r="D9" s="671"/>
      <c r="E9" s="671"/>
      <c r="F9" s="671"/>
      <c r="G9" s="671"/>
      <c r="H9" s="672"/>
      <c r="I9" s="15"/>
      <c r="J9" s="466"/>
      <c r="K9" s="14"/>
      <c r="L9" s="14"/>
      <c r="Z9" s="34"/>
      <c r="AA9" s="35"/>
      <c r="AB9" s="35"/>
      <c r="AC9" s="35"/>
      <c r="AD9" s="35"/>
      <c r="AE9" s="35"/>
    </row>
    <row r="10" spans="1:37" ht="15" customHeight="1">
      <c r="A10" s="639" t="str">
        <f>IF(A16&gt;2.7,"Please verify flow rate. You may be operating outside of operational flow range.",IF(A16&lt;0.01,"Please verify flow rate. You may be operating outside of operational flow range.",""))</f>
        <v>Please verify flow rate. You may be operating outside of operational flow range.</v>
      </c>
      <c r="B10" s="639"/>
      <c r="C10" s="639"/>
      <c r="D10" s="639"/>
      <c r="E10" s="639"/>
      <c r="F10" s="640"/>
      <c r="G10" s="676" t="s">
        <v>3649</v>
      </c>
      <c r="H10" s="677"/>
      <c r="I10" s="682" t="s">
        <v>3656</v>
      </c>
      <c r="J10" s="682"/>
      <c r="K10" s="133"/>
      <c r="L10" s="132"/>
      <c r="R10" s="34"/>
      <c r="S10" s="35"/>
      <c r="T10" s="35"/>
      <c r="U10" s="35"/>
      <c r="V10" s="35"/>
      <c r="W10" s="35"/>
      <c r="AF10" s="34"/>
      <c r="AG10" s="35"/>
      <c r="AH10" s="35"/>
      <c r="AI10" s="35"/>
      <c r="AJ10" s="35"/>
      <c r="AK10" s="35"/>
    </row>
    <row r="11" spans="1:37">
      <c r="A11" s="651" t="s">
        <v>29</v>
      </c>
      <c r="B11" s="651"/>
      <c r="C11" s="651"/>
      <c r="D11" s="651"/>
      <c r="E11" s="651"/>
      <c r="F11" s="662"/>
      <c r="G11" s="674"/>
      <c r="H11" s="675"/>
      <c r="I11" s="682"/>
      <c r="J11" s="682"/>
      <c r="K11" s="16" t="s">
        <v>3658</v>
      </c>
      <c r="L11" s="16" t="s">
        <v>3657</v>
      </c>
      <c r="R11" s="34"/>
      <c r="S11" s="35"/>
      <c r="T11" s="35"/>
      <c r="U11" s="35"/>
      <c r="V11" s="35"/>
      <c r="W11" s="35"/>
      <c r="AF11" s="34"/>
      <c r="AG11" s="35"/>
      <c r="AH11" s="35"/>
      <c r="AI11" s="35"/>
      <c r="AJ11" s="35"/>
      <c r="AK11" s="35"/>
    </row>
    <row r="12" spans="1:37" ht="15" customHeight="1">
      <c r="A12" s="144"/>
      <c r="B12" s="144"/>
      <c r="C12" s="144"/>
      <c r="D12" s="144"/>
      <c r="E12" s="144"/>
      <c r="F12" s="462"/>
      <c r="G12" s="678" t="s">
        <v>3653</v>
      </c>
      <c r="H12" s="678"/>
      <c r="I12" s="75" t="s">
        <v>3648</v>
      </c>
      <c r="J12" s="467" t="e">
        <f>IF(K12&lt;1.05,IF(L12&lt;1.01,(K12+L12)/2,"Too small"),"Too large")</f>
        <v>#DIV/0!</v>
      </c>
      <c r="K12" s="468" t="e">
        <f>(1-(0.01/A16))</f>
        <v>#DIV/0!</v>
      </c>
      <c r="L12" s="468">
        <f>A16/0.24</f>
        <v>0</v>
      </c>
      <c r="R12" s="34"/>
      <c r="S12" s="35"/>
      <c r="T12" s="35"/>
      <c r="U12" s="35"/>
      <c r="V12" s="35"/>
      <c r="W12" s="35"/>
      <c r="AF12" s="34"/>
      <c r="AG12" s="35"/>
      <c r="AH12" s="35"/>
      <c r="AI12" s="35"/>
      <c r="AJ12" s="35"/>
      <c r="AK12" s="35"/>
    </row>
    <row r="13" spans="1:37" ht="30" customHeight="1">
      <c r="A13" s="91" t="s">
        <v>3</v>
      </c>
      <c r="B13" s="91" t="s">
        <v>5</v>
      </c>
      <c r="C13" s="91" t="s">
        <v>32</v>
      </c>
      <c r="D13" s="91" t="s">
        <v>4</v>
      </c>
      <c r="E13" s="91" t="s">
        <v>3655</v>
      </c>
      <c r="F13" s="463" t="s">
        <v>33</v>
      </c>
      <c r="G13" s="678"/>
      <c r="H13" s="678"/>
      <c r="I13" s="469" t="s">
        <v>3651</v>
      </c>
      <c r="J13" s="467" t="e">
        <f>IF(K13&lt;1,IF(L13&lt;1,(K13+L13)/2,"Too small"),"Too large")</f>
        <v>#DIV/0!</v>
      </c>
      <c r="K13" s="468" t="e">
        <f>(1-(0.06/A16))</f>
        <v>#DIV/0!</v>
      </c>
      <c r="L13" s="468">
        <f>A16/0.65</f>
        <v>0</v>
      </c>
      <c r="R13" s="34"/>
      <c r="S13" s="35"/>
      <c r="T13" s="35"/>
      <c r="U13" s="35"/>
      <c r="V13" s="35"/>
      <c r="W13" s="35"/>
      <c r="AF13" s="34"/>
      <c r="AG13" s="35"/>
      <c r="AH13" s="35"/>
      <c r="AI13" s="35"/>
      <c r="AJ13" s="35"/>
      <c r="AK13" s="35"/>
    </row>
    <row r="14" spans="1:37" ht="15" hidden="1" customHeight="1">
      <c r="A14" s="64">
        <f>A12*D7</f>
        <v>0</v>
      </c>
      <c r="B14" s="65" t="s">
        <v>109</v>
      </c>
      <c r="C14" s="66">
        <f>((B12*C12*H5)/5940)*D7</f>
        <v>0</v>
      </c>
      <c r="D14" s="64">
        <f>D12*D7</f>
        <v>0</v>
      </c>
      <c r="E14" s="65" t="s">
        <v>109</v>
      </c>
      <c r="F14" s="464">
        <f>(((G5/100)*E12*F12)/600)*D7</f>
        <v>0</v>
      </c>
      <c r="G14" s="678"/>
      <c r="H14" s="678"/>
      <c r="I14" s="469"/>
      <c r="J14" s="467">
        <f>K14-L14</f>
        <v>0</v>
      </c>
      <c r="K14" s="468"/>
      <c r="L14" s="468"/>
      <c r="R14" s="34"/>
      <c r="S14" s="35"/>
      <c r="T14" s="35"/>
      <c r="U14" s="35"/>
      <c r="V14" s="35"/>
      <c r="W14" s="35"/>
      <c r="AF14" s="34"/>
      <c r="AG14" s="35"/>
      <c r="AH14" s="35"/>
      <c r="AI14" s="35"/>
      <c r="AJ14" s="35"/>
      <c r="AK14" s="35"/>
    </row>
    <row r="15" spans="1:37" ht="15" hidden="1" customHeight="1">
      <c r="A15" s="665">
        <f>MAX(A14,C14)</f>
        <v>0</v>
      </c>
      <c r="B15" s="665"/>
      <c r="C15" s="665"/>
      <c r="D15" s="666">
        <f>MAX(D14,F14)</f>
        <v>0</v>
      </c>
      <c r="E15" s="666"/>
      <c r="F15" s="667"/>
      <c r="G15" s="678"/>
      <c r="H15" s="678"/>
      <c r="I15" s="469"/>
      <c r="J15" s="467">
        <f>K15-L15</f>
        <v>0</v>
      </c>
      <c r="K15" s="468"/>
      <c r="L15" s="468"/>
      <c r="R15" s="34"/>
      <c r="S15" s="35"/>
      <c r="T15" s="35"/>
      <c r="U15" s="35"/>
      <c r="V15" s="35"/>
      <c r="W15" s="35"/>
      <c r="AF15" s="34"/>
      <c r="AG15" s="35"/>
      <c r="AH15" s="35"/>
      <c r="AI15" s="35"/>
      <c r="AJ15" s="35"/>
      <c r="AK15" s="35"/>
    </row>
    <row r="16" spans="1:37">
      <c r="A16" s="665">
        <f>MAX(A15,(D15/3.7851))</f>
        <v>0</v>
      </c>
      <c r="B16" s="639"/>
      <c r="C16" s="639"/>
      <c r="D16" s="639"/>
      <c r="E16" s="639"/>
      <c r="F16" s="640"/>
      <c r="G16" s="678"/>
      <c r="H16" s="678"/>
      <c r="I16" s="681" t="s">
        <v>3652</v>
      </c>
      <c r="J16" s="679" t="e">
        <f>IF(K16&lt;1.05,IF(L16&lt;1,(K16+L16)/2,"Too small"),"Too large")</f>
        <v>#DIV/0!</v>
      </c>
      <c r="K16" s="680" t="e">
        <f>(1-(0.1/A16))</f>
        <v>#DIV/0!</v>
      </c>
      <c r="L16" s="680">
        <f>A16/2.7</f>
        <v>0</v>
      </c>
      <c r="R16" s="34"/>
      <c r="S16" s="35"/>
      <c r="T16" s="35"/>
      <c r="U16" s="35"/>
      <c r="V16" s="35"/>
      <c r="W16" s="35"/>
      <c r="AF16" s="34"/>
      <c r="AG16" s="35"/>
      <c r="AH16" s="35"/>
      <c r="AI16" s="35"/>
      <c r="AJ16" s="35"/>
      <c r="AK16" s="35"/>
    </row>
    <row r="17" spans="1:37">
      <c r="A17" s="68"/>
      <c r="B17" s="17"/>
      <c r="C17" s="17"/>
      <c r="D17" s="17"/>
      <c r="E17" s="17"/>
      <c r="F17" s="17"/>
      <c r="G17" s="678"/>
      <c r="H17" s="678"/>
      <c r="I17" s="681"/>
      <c r="J17" s="679"/>
      <c r="K17" s="680"/>
      <c r="L17" s="680"/>
      <c r="R17" s="34"/>
      <c r="S17" s="35"/>
      <c r="T17" s="35"/>
      <c r="U17" s="35"/>
      <c r="V17" s="35"/>
      <c r="W17" s="35"/>
      <c r="AF17" s="34"/>
      <c r="AG17" s="35"/>
      <c r="AH17" s="35"/>
      <c r="AI17" s="35"/>
      <c r="AJ17" s="35"/>
      <c r="AK17" s="35"/>
    </row>
    <row r="18" spans="1:37" ht="21">
      <c r="A18" s="631" t="str">
        <f>CONCATENATE("Outlet Selection For ",A3)</f>
        <v>Outlet Selection For Product 1</v>
      </c>
      <c r="B18" s="631"/>
      <c r="C18" s="631"/>
      <c r="D18" s="631"/>
      <c r="E18" s="631"/>
      <c r="F18" s="631"/>
      <c r="G18" s="631"/>
      <c r="H18" s="631"/>
      <c r="I18" s="13"/>
      <c r="J18" s="10"/>
      <c r="P18" s="34"/>
      <c r="Q18" s="35"/>
      <c r="R18" s="35"/>
      <c r="S18" s="35"/>
      <c r="T18" s="35"/>
      <c r="U18" s="35"/>
      <c r="AD18" s="34"/>
      <c r="AE18" s="35"/>
      <c r="AF18" s="35"/>
      <c r="AG18" s="35"/>
      <c r="AH18" s="35"/>
      <c r="AI18" s="35"/>
    </row>
    <row r="19" spans="1:37">
      <c r="A19" s="668" t="s">
        <v>3473</v>
      </c>
      <c r="B19" s="668"/>
      <c r="C19" s="668"/>
      <c r="D19" s="668"/>
      <c r="E19" s="668"/>
      <c r="F19" s="639" t="e">
        <f>VLOOKUP(TRUE,AdministrationPage!$A$16:$D$35,2,0)</f>
        <v>#N/A</v>
      </c>
      <c r="G19" s="639"/>
      <c r="H19" s="639"/>
      <c r="I19" s="13"/>
      <c r="J19" s="10"/>
      <c r="P19" s="34"/>
      <c r="Q19" s="35"/>
      <c r="R19" s="35"/>
      <c r="S19" s="35"/>
      <c r="T19" s="35"/>
      <c r="U19" s="35"/>
      <c r="AD19" s="34"/>
      <c r="AE19" s="35"/>
      <c r="AF19" s="35"/>
      <c r="AG19" s="35"/>
      <c r="AH19" s="35"/>
      <c r="AI19" s="35"/>
    </row>
    <row r="20" spans="1:37" ht="30" customHeight="1">
      <c r="A20" s="651" t="s">
        <v>104</v>
      </c>
      <c r="B20" s="651"/>
      <c r="C20" s="92" t="s">
        <v>105</v>
      </c>
      <c r="D20" s="651" t="s">
        <v>106</v>
      </c>
      <c r="E20" s="651"/>
      <c r="F20" s="651" t="s">
        <v>47</v>
      </c>
      <c r="G20" s="651"/>
      <c r="H20" s="651"/>
      <c r="I20" s="13"/>
      <c r="J20" s="13"/>
      <c r="K20" s="13"/>
      <c r="L20" s="10"/>
      <c r="R20" s="34"/>
      <c r="S20" s="35"/>
      <c r="T20" s="35"/>
      <c r="U20" s="35"/>
      <c r="V20" s="35"/>
      <c r="W20" s="35"/>
      <c r="AF20" s="34"/>
      <c r="AG20" s="35"/>
      <c r="AH20" s="35"/>
      <c r="AI20" s="35"/>
      <c r="AJ20" s="35"/>
      <c r="AK20" s="35"/>
    </row>
    <row r="21" spans="1:37">
      <c r="A21" s="650"/>
      <c r="B21" s="650"/>
      <c r="C21" s="144"/>
      <c r="D21" s="650"/>
      <c r="E21" s="650"/>
      <c r="F21" s="650"/>
      <c r="G21" s="650"/>
      <c r="H21" s="650"/>
      <c r="I21" s="13"/>
      <c r="J21" s="13"/>
      <c r="K21" s="13"/>
      <c r="L21" s="10"/>
      <c r="R21" s="34"/>
      <c r="S21" s="35"/>
      <c r="T21" s="35"/>
      <c r="U21" s="35"/>
      <c r="V21" s="35"/>
      <c r="W21" s="35"/>
      <c r="AF21" s="34"/>
      <c r="AG21" s="35"/>
      <c r="AH21" s="35"/>
      <c r="AI21" s="35"/>
      <c r="AJ21" s="35"/>
      <c r="AK21" s="35"/>
    </row>
    <row r="22" spans="1:37" ht="90.75" customHeight="1">
      <c r="A22" s="683" t="s">
        <v>111</v>
      </c>
      <c r="B22" s="683"/>
      <c r="C22" s="91" t="s">
        <v>9</v>
      </c>
      <c r="D22" s="659" t="s">
        <v>100</v>
      </c>
      <c r="E22" s="659"/>
      <c r="F22" s="659" t="s">
        <v>107</v>
      </c>
      <c r="G22" s="659"/>
      <c r="H22" s="659"/>
      <c r="I22" s="13"/>
      <c r="J22" s="13"/>
      <c r="K22" s="13"/>
      <c r="L22" s="10"/>
      <c r="R22" s="34"/>
      <c r="S22" s="35"/>
      <c r="T22" s="35"/>
      <c r="U22" s="35"/>
      <c r="V22" s="35"/>
      <c r="W22" s="35"/>
      <c r="AF22" s="34"/>
      <c r="AG22" s="35"/>
      <c r="AH22" s="35"/>
      <c r="AI22" s="35"/>
      <c r="AJ22" s="35"/>
      <c r="AK22" s="35"/>
    </row>
    <row r="23" spans="1:37" hidden="1">
      <c r="A23" s="14"/>
      <c r="B23" s="69" t="str">
        <f>CONCATENATE(A21,C21)</f>
        <v/>
      </c>
      <c r="C23" s="14"/>
      <c r="D23" s="14"/>
      <c r="E23" s="15"/>
      <c r="F23" s="14"/>
      <c r="G23" s="16"/>
      <c r="H23" s="16"/>
      <c r="I23" s="13"/>
      <c r="J23" s="10"/>
      <c r="P23" s="34"/>
      <c r="Q23" s="35"/>
      <c r="R23" s="35"/>
      <c r="S23" s="35"/>
      <c r="T23" s="35"/>
      <c r="U23" s="35"/>
      <c r="AD23" s="34"/>
      <c r="AE23" s="35"/>
      <c r="AF23" s="35"/>
      <c r="AG23" s="35"/>
      <c r="AH23" s="35"/>
      <c r="AI23" s="35"/>
    </row>
    <row r="24" spans="1:37">
      <c r="A24" s="14"/>
      <c r="B24" s="69"/>
      <c r="C24" s="14"/>
      <c r="D24" s="14"/>
      <c r="E24" s="15"/>
      <c r="F24" s="14"/>
      <c r="G24" s="16"/>
      <c r="H24" s="16"/>
      <c r="I24" s="13"/>
      <c r="J24" s="10"/>
      <c r="P24" s="34"/>
      <c r="Q24" s="35"/>
      <c r="R24" s="35"/>
      <c r="S24" s="35"/>
      <c r="T24" s="35"/>
      <c r="U24" s="35"/>
      <c r="AD24" s="34"/>
      <c r="AE24" s="35"/>
      <c r="AF24" s="35"/>
      <c r="AG24" s="35"/>
      <c r="AH24" s="35"/>
      <c r="AI24" s="35"/>
    </row>
    <row r="25" spans="1:37" ht="21">
      <c r="A25" s="631" t="str">
        <f>CONCATENATE("Inlet Selection For ",A3)</f>
        <v>Inlet Selection For Product 1</v>
      </c>
      <c r="B25" s="631"/>
      <c r="C25" s="631"/>
      <c r="D25" s="631"/>
      <c r="E25" s="631"/>
      <c r="F25" s="631"/>
      <c r="G25" s="631"/>
      <c r="H25" s="631"/>
      <c r="L25" s="34"/>
      <c r="M25" s="35"/>
      <c r="N25" s="35"/>
      <c r="O25" s="35"/>
      <c r="P25" s="35"/>
      <c r="Q25" s="35"/>
      <c r="Z25" s="34"/>
      <c r="AA25" s="35"/>
      <c r="AB25" s="35"/>
      <c r="AC25" s="35"/>
      <c r="AD25" s="35"/>
      <c r="AE25" s="35"/>
    </row>
    <row r="26" spans="1:37">
      <c r="A26" s="668" t="s">
        <v>3472</v>
      </c>
      <c r="B26" s="668"/>
      <c r="C26" s="668"/>
      <c r="D26" s="668"/>
      <c r="E26" s="668"/>
      <c r="F26" s="639" t="e">
        <f>VLOOKUP(TRUE,AdministrationPage!$I$16:$M$35,2,0)</f>
        <v>#N/A</v>
      </c>
      <c r="G26" s="639"/>
      <c r="H26" s="639"/>
      <c r="I26" s="13"/>
      <c r="J26" s="10"/>
      <c r="P26" s="34"/>
      <c r="Q26" s="35"/>
      <c r="R26" s="35"/>
      <c r="S26" s="35"/>
      <c r="T26" s="35"/>
      <c r="U26" s="35"/>
      <c r="AD26" s="34"/>
      <c r="AE26" s="35"/>
      <c r="AF26" s="35"/>
      <c r="AG26" s="35"/>
      <c r="AH26" s="35"/>
      <c r="AI26" s="35"/>
    </row>
    <row r="27" spans="1:37" ht="75" customHeight="1">
      <c r="A27" s="651" t="s">
        <v>82</v>
      </c>
      <c r="B27" s="651"/>
      <c r="C27" s="92" t="s">
        <v>46</v>
      </c>
      <c r="D27" s="651" t="s">
        <v>83</v>
      </c>
      <c r="E27" s="651"/>
      <c r="F27" s="651" t="s">
        <v>11</v>
      </c>
      <c r="G27" s="651"/>
      <c r="H27" s="651"/>
      <c r="I27" s="13"/>
      <c r="J27" s="10"/>
      <c r="P27" s="34"/>
      <c r="Q27" s="35"/>
      <c r="R27" s="35"/>
      <c r="S27" s="35"/>
      <c r="T27" s="35"/>
      <c r="U27" s="35"/>
      <c r="AD27" s="34"/>
      <c r="AE27" s="35"/>
      <c r="AF27" s="35"/>
      <c r="AG27" s="35"/>
      <c r="AH27" s="35"/>
      <c r="AI27" s="35"/>
    </row>
    <row r="28" spans="1:37">
      <c r="A28" s="650"/>
      <c r="B28" s="650"/>
      <c r="C28" s="144"/>
      <c r="D28" s="650"/>
      <c r="E28" s="650"/>
      <c r="F28" s="650"/>
      <c r="G28" s="650"/>
      <c r="H28" s="650"/>
      <c r="I28" s="13"/>
      <c r="J28" s="10"/>
      <c r="P28" s="34"/>
      <c r="Q28" s="35"/>
      <c r="R28" s="35"/>
      <c r="S28" s="35"/>
      <c r="T28" s="35"/>
      <c r="U28" s="35"/>
      <c r="AD28" s="34"/>
      <c r="AE28" s="35"/>
      <c r="AF28" s="35"/>
      <c r="AG28" s="35"/>
      <c r="AH28" s="35"/>
      <c r="AI28" s="35"/>
    </row>
    <row r="29" spans="1:37" ht="99" customHeight="1">
      <c r="A29" s="659" t="s">
        <v>102</v>
      </c>
      <c r="B29" s="659"/>
      <c r="C29" s="91" t="s">
        <v>108</v>
      </c>
      <c r="D29" s="659" t="s">
        <v>100</v>
      </c>
      <c r="E29" s="659"/>
      <c r="F29" s="659" t="s">
        <v>12</v>
      </c>
      <c r="G29" s="659"/>
      <c r="H29" s="659"/>
      <c r="I29" s="13"/>
      <c r="J29" s="10"/>
      <c r="P29" s="34"/>
      <c r="Q29" s="35"/>
      <c r="R29" s="35"/>
      <c r="S29" s="35"/>
      <c r="T29" s="35"/>
      <c r="U29" s="35"/>
      <c r="AD29" s="34"/>
      <c r="AE29" s="35"/>
      <c r="AF29" s="35"/>
      <c r="AG29" s="35"/>
      <c r="AH29" s="35"/>
      <c r="AI29" s="35"/>
    </row>
    <row r="30" spans="1:37" hidden="1">
      <c r="A30" s="70"/>
      <c r="B30" s="69" t="str">
        <f>CONCATENATE(A28,C28)</f>
        <v/>
      </c>
      <c r="C30" s="71"/>
      <c r="D30" s="70"/>
      <c r="E30" s="70"/>
      <c r="F30" s="70"/>
      <c r="G30" s="70"/>
      <c r="H30" s="70"/>
      <c r="I30" s="13"/>
      <c r="J30" s="10"/>
      <c r="P30" s="34"/>
      <c r="Q30" s="35"/>
      <c r="R30" s="35"/>
      <c r="S30" s="35"/>
      <c r="T30" s="35"/>
      <c r="U30" s="35"/>
      <c r="AD30" s="34"/>
      <c r="AE30" s="35"/>
      <c r="AF30" s="35"/>
      <c r="AG30" s="35"/>
      <c r="AH30" s="35"/>
      <c r="AI30" s="35"/>
    </row>
    <row r="31" spans="1:37">
      <c r="A31" s="70"/>
      <c r="B31" s="70"/>
      <c r="C31" s="71"/>
      <c r="D31" s="70"/>
      <c r="E31" s="70"/>
      <c r="F31" s="70"/>
      <c r="G31" s="70"/>
      <c r="H31" s="70"/>
      <c r="I31" s="13"/>
      <c r="J31" s="10"/>
      <c r="P31" s="34"/>
      <c r="Q31" s="35"/>
      <c r="R31" s="35"/>
      <c r="S31" s="35"/>
      <c r="T31" s="35"/>
      <c r="U31" s="35"/>
      <c r="AD31" s="34"/>
      <c r="AE31" s="35"/>
      <c r="AF31" s="35"/>
      <c r="AG31" s="35"/>
      <c r="AH31" s="35"/>
      <c r="AI31" s="35"/>
    </row>
    <row r="32" spans="1:37" ht="21">
      <c r="A32" s="631" t="str">
        <f>CONCATENATE("[OPTIONAL] Alternate Flow Rate for ",A3)</f>
        <v>[OPTIONAL] Alternate Flow Rate for Product 1</v>
      </c>
      <c r="B32" s="631"/>
      <c r="C32" s="631"/>
      <c r="D32" s="631"/>
      <c r="E32" s="631"/>
      <c r="F32" s="631"/>
      <c r="G32" s="631"/>
      <c r="H32" s="631"/>
      <c r="L32" s="34"/>
      <c r="M32" s="35"/>
      <c r="N32" s="35"/>
      <c r="O32" s="35"/>
      <c r="P32" s="35"/>
      <c r="Q32" s="35"/>
      <c r="Z32" s="34"/>
      <c r="AA32" s="35"/>
      <c r="AB32" s="35"/>
      <c r="AC32" s="35"/>
      <c r="AD32" s="35"/>
      <c r="AE32" s="35"/>
    </row>
    <row r="33" spans="1:37">
      <c r="A33" s="651" t="s">
        <v>45</v>
      </c>
      <c r="B33" s="651"/>
      <c r="C33" s="651"/>
      <c r="D33" s="651"/>
      <c r="E33" s="651"/>
      <c r="F33" s="651"/>
      <c r="G33" s="15"/>
      <c r="H33" s="14"/>
      <c r="I33" s="13"/>
      <c r="J33" s="13"/>
      <c r="K33" s="13"/>
      <c r="L33" s="10"/>
      <c r="R33" s="34"/>
      <c r="S33" s="35"/>
      <c r="T33" s="35"/>
      <c r="U33" s="35"/>
      <c r="V33" s="35"/>
      <c r="W33" s="35"/>
      <c r="AF33" s="34"/>
      <c r="AG33" s="35"/>
      <c r="AH33" s="35"/>
      <c r="AI33" s="35"/>
      <c r="AJ33" s="35"/>
      <c r="AK33" s="35"/>
    </row>
    <row r="34" spans="1:37">
      <c r="A34" s="144"/>
      <c r="B34" s="144"/>
      <c r="C34" s="144"/>
      <c r="D34" s="144"/>
      <c r="E34" s="144"/>
      <c r="F34" s="144"/>
      <c r="G34" s="15"/>
      <c r="H34" s="14"/>
      <c r="I34" s="13"/>
      <c r="J34" s="13"/>
      <c r="K34" s="13"/>
      <c r="L34" s="10"/>
      <c r="R34" s="34"/>
      <c r="S34" s="35"/>
      <c r="T34" s="35"/>
      <c r="U34" s="35"/>
      <c r="V34" s="35"/>
      <c r="W34" s="35"/>
      <c r="AF34" s="34"/>
      <c r="AG34" s="35"/>
      <c r="AH34" s="35"/>
      <c r="AI34" s="35"/>
      <c r="AJ34" s="35"/>
      <c r="AK34" s="35"/>
    </row>
    <row r="35" spans="1:37" ht="30">
      <c r="A35" s="90" t="s">
        <v>3</v>
      </c>
      <c r="B35" s="90" t="s">
        <v>3479</v>
      </c>
      <c r="C35" s="90" t="s">
        <v>32</v>
      </c>
      <c r="D35" s="90" t="s">
        <v>4</v>
      </c>
      <c r="E35" s="90" t="s">
        <v>3478</v>
      </c>
      <c r="F35" s="90" t="s">
        <v>33</v>
      </c>
      <c r="G35" s="15"/>
      <c r="H35" s="14"/>
      <c r="I35" s="13"/>
      <c r="J35" s="13"/>
      <c r="K35" s="13"/>
      <c r="L35" s="10"/>
      <c r="R35" s="34"/>
      <c r="S35" s="35"/>
      <c r="T35" s="35"/>
      <c r="U35" s="35"/>
      <c r="V35" s="35"/>
      <c r="W35" s="35"/>
      <c r="AF35" s="34"/>
      <c r="AG35" s="35"/>
      <c r="AH35" s="35"/>
      <c r="AI35" s="35"/>
      <c r="AJ35" s="35"/>
      <c r="AK35" s="35"/>
    </row>
    <row r="36" spans="1:37" hidden="1">
      <c r="A36" s="72">
        <f>A34*D7</f>
        <v>0</v>
      </c>
      <c r="B36" s="62" t="s">
        <v>109</v>
      </c>
      <c r="C36" s="73">
        <f>((B34*C34*H5)/5940)*D7</f>
        <v>0</v>
      </c>
      <c r="D36" s="72">
        <f>D34*D7</f>
        <v>0</v>
      </c>
      <c r="E36" s="62" t="s">
        <v>109</v>
      </c>
      <c r="F36" s="74">
        <f>(((G5/100)*E34*F34)/600)*D7</f>
        <v>0</v>
      </c>
      <c r="G36" s="15"/>
      <c r="H36" s="14"/>
      <c r="I36" s="13"/>
      <c r="J36" s="13"/>
      <c r="K36" s="13"/>
      <c r="L36" s="10"/>
      <c r="R36" s="34"/>
      <c r="S36" s="35"/>
      <c r="T36" s="35"/>
      <c r="U36" s="35"/>
      <c r="V36" s="35"/>
      <c r="W36" s="35"/>
      <c r="AF36" s="34"/>
      <c r="AG36" s="35"/>
      <c r="AH36" s="35"/>
      <c r="AI36" s="35"/>
      <c r="AJ36" s="35"/>
      <c r="AK36" s="35"/>
    </row>
    <row r="37" spans="1:37" hidden="1">
      <c r="A37" s="665">
        <f>MAX(A36,C36)</f>
        <v>0</v>
      </c>
      <c r="B37" s="665"/>
      <c r="C37" s="665"/>
      <c r="D37" s="666">
        <f>MAX(D36,F36)</f>
        <v>0</v>
      </c>
      <c r="E37" s="666"/>
      <c r="F37" s="666"/>
      <c r="G37" s="15"/>
      <c r="H37" s="14"/>
      <c r="I37" s="13"/>
      <c r="J37" s="13"/>
      <c r="K37" s="13"/>
      <c r="L37" s="10"/>
      <c r="R37" s="34"/>
      <c r="S37" s="35"/>
      <c r="T37" s="35"/>
      <c r="U37" s="35"/>
      <c r="V37" s="35"/>
      <c r="W37" s="35"/>
      <c r="AF37" s="34"/>
      <c r="AG37" s="35"/>
      <c r="AH37" s="35"/>
      <c r="AI37" s="35"/>
      <c r="AJ37" s="35"/>
      <c r="AK37" s="35"/>
    </row>
    <row r="38" spans="1:37">
      <c r="A38" s="665">
        <f>MAX(A37,(D37/3.7851))</f>
        <v>0</v>
      </c>
      <c r="B38" s="639"/>
      <c r="C38" s="639"/>
      <c r="D38" s="639"/>
      <c r="E38" s="639"/>
      <c r="F38" s="639"/>
      <c r="G38" s="15"/>
      <c r="H38" s="14"/>
      <c r="I38" s="13"/>
      <c r="J38" s="13"/>
      <c r="K38" s="13"/>
      <c r="L38" s="10"/>
      <c r="R38" s="34"/>
      <c r="S38" s="35"/>
      <c r="T38" s="35"/>
      <c r="U38" s="35"/>
      <c r="V38" s="35"/>
      <c r="W38" s="35"/>
      <c r="AF38" s="34"/>
      <c r="AG38" s="35"/>
      <c r="AH38" s="35"/>
      <c r="AI38" s="35"/>
      <c r="AJ38" s="35"/>
      <c r="AK38" s="35"/>
    </row>
    <row r="39" spans="1:37">
      <c r="A39" s="15"/>
      <c r="B39" s="14"/>
      <c r="C39" s="16"/>
      <c r="D39" s="16"/>
      <c r="E39" s="16"/>
      <c r="F39" s="15"/>
      <c r="G39" s="14"/>
      <c r="H39" s="14"/>
      <c r="L39" s="34"/>
      <c r="M39" s="35"/>
      <c r="N39" s="35"/>
      <c r="O39" s="35"/>
      <c r="P39" s="35"/>
      <c r="Q39" s="35"/>
      <c r="Z39" s="34"/>
      <c r="AA39" s="35"/>
      <c r="AB39" s="35"/>
      <c r="AC39" s="35"/>
      <c r="AD39" s="35"/>
      <c r="AE39" s="35"/>
    </row>
    <row r="40" spans="1:37" s="9" customFormat="1" ht="31.5">
      <c r="A40" s="657" t="str">
        <f>CONCATENATE("Implement Layout of Sections for ", A3)</f>
        <v>Implement Layout of Sections for Product 1</v>
      </c>
      <c r="B40" s="657"/>
      <c r="C40" s="657"/>
      <c r="D40" s="657"/>
      <c r="E40" s="657"/>
      <c r="F40" s="657"/>
      <c r="G40" s="657"/>
      <c r="H40" s="657"/>
    </row>
    <row r="41" spans="1:37" s="9" customFormat="1" ht="21">
      <c r="A41" s="126" t="s">
        <v>3476</v>
      </c>
      <c r="B41" s="125"/>
      <c r="C41" s="125"/>
      <c r="D41" s="125"/>
      <c r="E41" s="125"/>
      <c r="F41" s="125"/>
      <c r="G41" s="127"/>
      <c r="H41" s="128"/>
    </row>
    <row r="42" spans="1:37" s="9" customFormat="1" ht="15" customHeight="1">
      <c r="A42" s="652" t="s">
        <v>129</v>
      </c>
      <c r="B42" s="652"/>
      <c r="C42" s="652" t="s">
        <v>28</v>
      </c>
      <c r="D42" s="652" t="s">
        <v>128</v>
      </c>
      <c r="E42" s="652" t="s">
        <v>121</v>
      </c>
      <c r="F42" s="658" t="s">
        <v>3465</v>
      </c>
      <c r="G42" s="658" t="s">
        <v>3466</v>
      </c>
      <c r="H42" s="658"/>
    </row>
    <row r="43" spans="1:37" s="9" customFormat="1">
      <c r="A43" s="651" t="str">
        <f>A3</f>
        <v>Product 1</v>
      </c>
      <c r="B43" s="651"/>
      <c r="C43" s="653"/>
      <c r="D43" s="652"/>
      <c r="E43" s="652"/>
      <c r="F43" s="658"/>
      <c r="G43" s="658"/>
      <c r="H43" s="658"/>
    </row>
    <row r="44" spans="1:37" s="9" customFormat="1" ht="15" customHeight="1">
      <c r="A44" s="649" t="s">
        <v>14</v>
      </c>
      <c r="B44" s="649"/>
      <c r="C44" s="78" t="s">
        <v>127</v>
      </c>
      <c r="D44" s="652"/>
      <c r="E44" s="652"/>
      <c r="F44" s="658"/>
      <c r="G44" s="658"/>
      <c r="H44" s="658"/>
    </row>
    <row r="45" spans="1:37" ht="15.75">
      <c r="A45" s="80" t="s">
        <v>15</v>
      </c>
      <c r="B45" s="39"/>
      <c r="C45" s="78">
        <f t="shared" ref="C45:C57" si="0">B45/16</f>
        <v>0</v>
      </c>
      <c r="D45" s="78">
        <f t="shared" ref="D45:D57" si="1">C45/0.25</f>
        <v>0</v>
      </c>
      <c r="E45" s="78">
        <f t="shared" ref="E45:E57" si="2">_xlfn.CEILING.MATH(C45,0.25)</f>
        <v>0</v>
      </c>
      <c r="F45" s="79" t="str">
        <f t="shared" ref="F45:F57" si="3">IF(4-(4*(D45-TRUNC(D45,0)))=4,"",4-(4*(D45-TRUNC(D45,0))))</f>
        <v/>
      </c>
      <c r="G45" s="63" t="str">
        <f>IF(4-(4*(D45-TRUNC(D45,0)))=4,"",4-(4*(D45-TRUNC(D45,0))))</f>
        <v/>
      </c>
      <c r="H45" s="63"/>
      <c r="Y45" s="11"/>
      <c r="Z45" s="11"/>
    </row>
    <row r="46" spans="1:37" ht="15.75">
      <c r="A46" s="80" t="s">
        <v>16</v>
      </c>
      <c r="B46" s="39"/>
      <c r="C46" s="78">
        <f t="shared" si="0"/>
        <v>0</v>
      </c>
      <c r="D46" s="78">
        <f t="shared" si="1"/>
        <v>0</v>
      </c>
      <c r="E46" s="78">
        <f t="shared" si="2"/>
        <v>0</v>
      </c>
      <c r="F46" s="79" t="str">
        <f t="shared" si="3"/>
        <v/>
      </c>
      <c r="G46" s="63" t="str">
        <f t="shared" ref="G46:G57" si="4">IF(4-(4*(D46-TRUNC(D46,0)))=4,"",4-(4*(D46-TRUNC(D46,0))))</f>
        <v/>
      </c>
      <c r="H46" s="63"/>
      <c r="Y46" s="11"/>
      <c r="Z46" s="11"/>
    </row>
    <row r="47" spans="1:37" ht="15.75">
      <c r="A47" s="80" t="s">
        <v>17</v>
      </c>
      <c r="B47" s="39"/>
      <c r="C47" s="78">
        <f t="shared" si="0"/>
        <v>0</v>
      </c>
      <c r="D47" s="78">
        <f t="shared" si="1"/>
        <v>0</v>
      </c>
      <c r="E47" s="78">
        <f t="shared" si="2"/>
        <v>0</v>
      </c>
      <c r="F47" s="79" t="str">
        <f t="shared" si="3"/>
        <v/>
      </c>
      <c r="G47" s="63" t="str">
        <f t="shared" si="4"/>
        <v/>
      </c>
      <c r="H47" s="63"/>
      <c r="Y47" s="11"/>
      <c r="Z47" s="11"/>
    </row>
    <row r="48" spans="1:37" ht="15.75">
      <c r="A48" s="80" t="s">
        <v>18</v>
      </c>
      <c r="B48" s="39"/>
      <c r="C48" s="78">
        <f t="shared" si="0"/>
        <v>0</v>
      </c>
      <c r="D48" s="78">
        <f t="shared" si="1"/>
        <v>0</v>
      </c>
      <c r="E48" s="78">
        <f t="shared" si="2"/>
        <v>0</v>
      </c>
      <c r="F48" s="79" t="str">
        <f t="shared" si="3"/>
        <v/>
      </c>
      <c r="G48" s="63" t="str">
        <f t="shared" si="4"/>
        <v/>
      </c>
      <c r="H48" s="63"/>
      <c r="Y48" s="11"/>
      <c r="Z48" s="11"/>
    </row>
    <row r="49" spans="1:26" ht="15.75">
      <c r="A49" s="80" t="s">
        <v>19</v>
      </c>
      <c r="B49" s="39"/>
      <c r="C49" s="78">
        <f t="shared" si="0"/>
        <v>0</v>
      </c>
      <c r="D49" s="78">
        <f t="shared" si="1"/>
        <v>0</v>
      </c>
      <c r="E49" s="78">
        <f t="shared" si="2"/>
        <v>0</v>
      </c>
      <c r="F49" s="79" t="str">
        <f t="shared" si="3"/>
        <v/>
      </c>
      <c r="G49" s="63" t="str">
        <f t="shared" si="4"/>
        <v/>
      </c>
      <c r="H49" s="63"/>
      <c r="Y49" s="11"/>
      <c r="Z49" s="11"/>
    </row>
    <row r="50" spans="1:26" ht="15.75">
      <c r="A50" s="80" t="s">
        <v>20</v>
      </c>
      <c r="B50" s="39"/>
      <c r="C50" s="78">
        <f t="shared" si="0"/>
        <v>0</v>
      </c>
      <c r="D50" s="78">
        <f t="shared" si="1"/>
        <v>0</v>
      </c>
      <c r="E50" s="78">
        <f t="shared" si="2"/>
        <v>0</v>
      </c>
      <c r="F50" s="79" t="str">
        <f t="shared" si="3"/>
        <v/>
      </c>
      <c r="G50" s="63" t="str">
        <f t="shared" si="4"/>
        <v/>
      </c>
      <c r="H50" s="63"/>
      <c r="Y50" s="11"/>
      <c r="Z50" s="11"/>
    </row>
    <row r="51" spans="1:26" ht="15.75">
      <c r="A51" s="80" t="s">
        <v>21</v>
      </c>
      <c r="B51" s="39"/>
      <c r="C51" s="78">
        <f t="shared" si="0"/>
        <v>0</v>
      </c>
      <c r="D51" s="78">
        <f t="shared" si="1"/>
        <v>0</v>
      </c>
      <c r="E51" s="78">
        <f t="shared" si="2"/>
        <v>0</v>
      </c>
      <c r="F51" s="79" t="str">
        <f t="shared" si="3"/>
        <v/>
      </c>
      <c r="G51" s="63" t="str">
        <f t="shared" si="4"/>
        <v/>
      </c>
      <c r="H51" s="63"/>
      <c r="Y51" s="11"/>
      <c r="Z51" s="11"/>
    </row>
    <row r="52" spans="1:26" ht="15.75">
      <c r="A52" s="80" t="s">
        <v>22</v>
      </c>
      <c r="B52" s="39"/>
      <c r="C52" s="78">
        <f t="shared" si="0"/>
        <v>0</v>
      </c>
      <c r="D52" s="78">
        <f t="shared" si="1"/>
        <v>0</v>
      </c>
      <c r="E52" s="78">
        <f t="shared" si="2"/>
        <v>0</v>
      </c>
      <c r="F52" s="79" t="str">
        <f t="shared" si="3"/>
        <v/>
      </c>
      <c r="G52" s="63" t="str">
        <f t="shared" si="4"/>
        <v/>
      </c>
      <c r="H52" s="63"/>
      <c r="Y52" s="11"/>
      <c r="Z52" s="11"/>
    </row>
    <row r="53" spans="1:26" ht="15.75">
      <c r="A53" s="80" t="s">
        <v>23</v>
      </c>
      <c r="B53" s="39"/>
      <c r="C53" s="78">
        <f t="shared" si="0"/>
        <v>0</v>
      </c>
      <c r="D53" s="78">
        <f t="shared" si="1"/>
        <v>0</v>
      </c>
      <c r="E53" s="78">
        <f t="shared" si="2"/>
        <v>0</v>
      </c>
      <c r="F53" s="79" t="str">
        <f t="shared" si="3"/>
        <v/>
      </c>
      <c r="G53" s="63" t="str">
        <f t="shared" si="4"/>
        <v/>
      </c>
      <c r="H53" s="63"/>
      <c r="Y53" s="11"/>
      <c r="Z53" s="11"/>
    </row>
    <row r="54" spans="1:26" ht="15.75">
      <c r="A54" s="80" t="s">
        <v>24</v>
      </c>
      <c r="B54" s="39"/>
      <c r="C54" s="78">
        <f t="shared" si="0"/>
        <v>0</v>
      </c>
      <c r="D54" s="78">
        <f t="shared" si="1"/>
        <v>0</v>
      </c>
      <c r="E54" s="78">
        <f t="shared" si="2"/>
        <v>0</v>
      </c>
      <c r="F54" s="79" t="str">
        <f t="shared" si="3"/>
        <v/>
      </c>
      <c r="G54" s="63" t="str">
        <f t="shared" si="4"/>
        <v/>
      </c>
      <c r="H54" s="63"/>
      <c r="Y54" s="11"/>
      <c r="Z54" s="11"/>
    </row>
    <row r="55" spans="1:26" ht="15.75">
      <c r="A55" s="80" t="s">
        <v>25</v>
      </c>
      <c r="B55" s="39"/>
      <c r="C55" s="78">
        <f t="shared" si="0"/>
        <v>0</v>
      </c>
      <c r="D55" s="78">
        <f t="shared" si="1"/>
        <v>0</v>
      </c>
      <c r="E55" s="78">
        <f t="shared" si="2"/>
        <v>0</v>
      </c>
      <c r="F55" s="79" t="str">
        <f t="shared" si="3"/>
        <v/>
      </c>
      <c r="G55" s="63" t="str">
        <f t="shared" si="4"/>
        <v/>
      </c>
      <c r="H55" s="63"/>
      <c r="Y55" s="11"/>
      <c r="Z55" s="11"/>
    </row>
    <row r="56" spans="1:26" ht="15.75">
      <c r="A56" s="80" t="s">
        <v>26</v>
      </c>
      <c r="B56" s="39"/>
      <c r="C56" s="78">
        <f t="shared" si="0"/>
        <v>0</v>
      </c>
      <c r="D56" s="78">
        <f t="shared" si="1"/>
        <v>0</v>
      </c>
      <c r="E56" s="78">
        <f t="shared" si="2"/>
        <v>0</v>
      </c>
      <c r="F56" s="79" t="str">
        <f t="shared" si="3"/>
        <v/>
      </c>
      <c r="G56" s="63" t="str">
        <f t="shared" si="4"/>
        <v/>
      </c>
      <c r="H56" s="63"/>
      <c r="Y56" s="11"/>
      <c r="Z56" s="11"/>
    </row>
    <row r="57" spans="1:26" ht="15.75">
      <c r="A57" s="80" t="s">
        <v>27</v>
      </c>
      <c r="B57" s="39"/>
      <c r="C57" s="78">
        <f t="shared" si="0"/>
        <v>0</v>
      </c>
      <c r="D57" s="78">
        <f t="shared" si="1"/>
        <v>0</v>
      </c>
      <c r="E57" s="78">
        <f t="shared" si="2"/>
        <v>0</v>
      </c>
      <c r="F57" s="79" t="str">
        <f t="shared" si="3"/>
        <v/>
      </c>
      <c r="G57" s="63" t="str">
        <f t="shared" si="4"/>
        <v/>
      </c>
      <c r="H57" s="63"/>
      <c r="Y57" s="11"/>
      <c r="Z57" s="11"/>
    </row>
    <row r="58" spans="1:26" ht="31.5">
      <c r="A58" s="80" t="s">
        <v>3467</v>
      </c>
      <c r="B58" s="75">
        <f>SUM(B45:B57)</f>
        <v>0</v>
      </c>
      <c r="C58" s="96">
        <f>ROUNDUP(SUM(C45:C57),0)</f>
        <v>0</v>
      </c>
      <c r="D58" s="96">
        <f>ROUNDUP(SUM(D45:D57),0)</f>
        <v>0</v>
      </c>
      <c r="E58" s="96">
        <f>ROUNDUP(SUM(E45:E57),0)</f>
        <v>0</v>
      </c>
      <c r="F58" s="96">
        <f>SUM(F45:F57)</f>
        <v>0</v>
      </c>
      <c r="G58" s="96">
        <f>SUM(G45:G57)</f>
        <v>0</v>
      </c>
      <c r="H58" s="96"/>
      <c r="Y58" s="11"/>
    </row>
    <row r="59" spans="1:26" hidden="1">
      <c r="A59" s="654" t="s">
        <v>3474</v>
      </c>
      <c r="B59" s="655"/>
      <c r="C59" s="655"/>
      <c r="D59" s="655"/>
      <c r="E59" s="656"/>
      <c r="F59" s="15"/>
      <c r="G59" s="15"/>
      <c r="H59" s="15"/>
      <c r="Y59" s="11"/>
    </row>
    <row r="60" spans="1:26" hidden="1">
      <c r="A60" s="647" t="str">
        <f>IF((E5+B58)=0,"","Do product runs match section layout?")</f>
        <v/>
      </c>
      <c r="B60" s="648"/>
      <c r="C60" s="648"/>
      <c r="D60" s="648"/>
      <c r="E60" s="36" t="str">
        <f>IF((E5+B58)=0,"",E5=B58)</f>
        <v/>
      </c>
      <c r="F60" s="15"/>
      <c r="G60" s="15"/>
      <c r="H60" s="15"/>
    </row>
    <row r="61" spans="1:26" hidden="1">
      <c r="A61" s="647" t="str">
        <f>IF('Flow Indicator Parts List'!$C$70=0,"","Node Usage per system (if central electronics)")</f>
        <v/>
      </c>
      <c r="B61" s="648"/>
      <c r="C61" s="648"/>
      <c r="D61" s="648"/>
      <c r="E61" s="37" t="str">
        <f>IF('Flow Indicator Parts List'!$C$70=0,"",'Flow Indicator Parts List'!$C$70)</f>
        <v/>
      </c>
      <c r="F61" s="14"/>
      <c r="G61" s="14"/>
      <c r="H61" s="14"/>
    </row>
    <row r="62" spans="1:26" hidden="1">
      <c r="A62" s="647" t="str">
        <f>IF('Flow Indicator Parts List'!$C$72=0,"","Node Usage per section (if split sections)")</f>
        <v/>
      </c>
      <c r="B62" s="648"/>
      <c r="C62" s="648"/>
      <c r="D62" s="648"/>
      <c r="E62" s="37" t="str">
        <f>IF('Flow Indicator Parts List'!$C$72=0,"",'Flow Indicator Parts List'!$C$72)</f>
        <v/>
      </c>
      <c r="F62" s="14"/>
      <c r="G62" s="14"/>
      <c r="H62" s="14"/>
    </row>
    <row r="63" spans="1:26" hidden="1">
      <c r="A63" s="660" t="str">
        <f>IF('Flow Indicator Parts List'!$C$69=0,"","Estimate for Extension Harnesses (split sections)")</f>
        <v/>
      </c>
      <c r="B63" s="661"/>
      <c r="C63" s="661"/>
      <c r="D63" s="661"/>
      <c r="E63" s="38" t="str">
        <f>IF('Flow Indicator Parts List'!$C$69=0,"",ROUNDUP('Flow Indicator Parts List'!$C$69,0))</f>
        <v/>
      </c>
      <c r="F63" s="14"/>
      <c r="G63" s="14"/>
      <c r="H63" s="14"/>
    </row>
    <row r="64" spans="1:26" hidden="1">
      <c r="A64" s="14"/>
      <c r="B64" s="14"/>
      <c r="C64" s="14"/>
      <c r="D64" s="14"/>
      <c r="E64" s="14"/>
      <c r="F64" s="14"/>
      <c r="G64" s="14"/>
      <c r="H64" s="14"/>
    </row>
    <row r="65" spans="1:14" hidden="1">
      <c r="A65" s="14"/>
      <c r="B65" s="14"/>
      <c r="C65" s="14"/>
      <c r="D65" s="14"/>
      <c r="E65" s="14"/>
      <c r="F65" s="14"/>
      <c r="G65" s="14"/>
      <c r="H65" s="14"/>
    </row>
    <row r="66" spans="1:14" hidden="1">
      <c r="A66" s="14"/>
      <c r="B66" s="14"/>
      <c r="C66" s="14"/>
      <c r="D66" s="14"/>
      <c r="E66" s="14"/>
      <c r="F66" s="14"/>
      <c r="G66" s="14"/>
      <c r="H66" s="14"/>
    </row>
    <row r="67" spans="1:14">
      <c r="A67" s="14"/>
      <c r="B67" s="14"/>
      <c r="C67" s="14"/>
      <c r="D67" s="14"/>
      <c r="E67" s="14"/>
      <c r="F67" s="14"/>
      <c r="G67" s="14"/>
      <c r="H67" s="14"/>
    </row>
    <row r="68" spans="1:14">
      <c r="A68" s="14"/>
      <c r="B68" s="14"/>
      <c r="C68" s="14"/>
      <c r="D68" s="14"/>
      <c r="E68" s="14"/>
      <c r="F68" s="14"/>
      <c r="G68" s="14"/>
      <c r="H68" s="14"/>
      <c r="I68" s="12"/>
      <c r="J68" s="12"/>
      <c r="K68" s="12"/>
    </row>
    <row r="69" spans="1:14" ht="21">
      <c r="A69" s="631" t="str">
        <f>CONCATENATE("Metering Orifice Selection for ",A3,"*")</f>
        <v>Metering Orifice Selection for Product 1*</v>
      </c>
      <c r="B69" s="631"/>
      <c r="C69" s="631"/>
      <c r="D69" s="631"/>
      <c r="E69" s="631"/>
      <c r="F69" s="631"/>
      <c r="G69" s="631"/>
      <c r="H69" s="631"/>
      <c r="I69" s="12"/>
      <c r="J69" s="12"/>
      <c r="K69" s="12"/>
      <c r="L69" s="12"/>
      <c r="M69" s="12"/>
      <c r="N69" s="12"/>
    </row>
    <row r="70" spans="1:14">
      <c r="A70" s="632" t="s">
        <v>3486</v>
      </c>
      <c r="B70" s="632"/>
      <c r="C70" s="633" t="s">
        <v>3487</v>
      </c>
      <c r="D70" s="634"/>
      <c r="E70" s="639" t="s">
        <v>3489</v>
      </c>
      <c r="F70" s="640"/>
      <c r="G70" s="641" t="str">
        <f>IF(A38=0,"","RATE 2")</f>
        <v/>
      </c>
      <c r="H70" s="642"/>
    </row>
    <row r="71" spans="1:14">
      <c r="A71" s="632"/>
      <c r="B71" s="632"/>
      <c r="C71" s="635"/>
      <c r="D71" s="636"/>
      <c r="E71" s="643">
        <f>A16</f>
        <v>0</v>
      </c>
      <c r="F71" s="644"/>
      <c r="G71" s="645" t="str">
        <f>IF(A38=0,"",A38)</f>
        <v/>
      </c>
      <c r="H71" s="646"/>
    </row>
    <row r="72" spans="1:14" ht="30">
      <c r="A72" s="632"/>
      <c r="B72" s="632"/>
      <c r="C72" s="637"/>
      <c r="D72" s="638"/>
      <c r="E72" s="113" t="s">
        <v>3490</v>
      </c>
      <c r="F72" s="114" t="s">
        <v>3491</v>
      </c>
      <c r="G72" s="111" t="str">
        <f>IF(A38=0,"","Pres. (PSI)")</f>
        <v/>
      </c>
      <c r="H72" s="112" t="str">
        <f>IF(A38=0,"","Pres. (BAR)")</f>
        <v/>
      </c>
    </row>
    <row r="73" spans="1:14" ht="15.75" thickBot="1">
      <c r="A73" s="628">
        <v>3.0000000000000001E-3</v>
      </c>
      <c r="B73" s="628"/>
      <c r="C73" s="610" t="s">
        <v>3493</v>
      </c>
      <c r="D73" s="611"/>
      <c r="E73" s="121" t="str">
        <f>IF(AND(((POWER($A$16,2)*POWER((1/$A73),2)*40)&gt;10),((POWER($A$16,2)*POWER((1/$A73),2)*40)&lt;80)),(POWER($A$16,2)*POWER((1/$A73),2)*40),"")</f>
        <v/>
      </c>
      <c r="F73" s="122" t="str">
        <f>IF(ISNUMBER(E73),E73*0.0689476,"")</f>
        <v/>
      </c>
      <c r="G73" s="123" t="str">
        <f>IF($A$38&lt;0.01,"",IF(AND(((POWER($A$38,2)*POWER((1/$A73),2)*40)&gt;10),((POWER($A$38,2)*POWER((1/$A73),2)*40)&lt;80)),(POWER($A$38,2)*POWER((1/$A73),2)*40),""))</f>
        <v/>
      </c>
      <c r="H73" s="124" t="str">
        <f>IF($A$38=0,"",IF(ISNUMBER(G73),G73*0.0689476,""))</f>
        <v/>
      </c>
    </row>
    <row r="74" spans="1:14" ht="15.75" thickBot="1">
      <c r="A74" s="629">
        <v>5.0000000000000001E-3</v>
      </c>
      <c r="B74" s="629"/>
      <c r="C74" s="610" t="s">
        <v>3494</v>
      </c>
      <c r="D74" s="611"/>
      <c r="E74" s="121" t="str">
        <f t="shared" ref="E74:E90" si="5">IF(AND(((POWER($A$16,2)*POWER((1/$A74),2)*40)&gt;10),((POWER($A$16,2)*POWER((1/$A74),2)*40)&lt;80)),(POWER($A$16,2)*POWER((1/$A74),2)*40),"")</f>
        <v/>
      </c>
      <c r="F74" s="122" t="str">
        <f t="shared" ref="F74:F90" si="6">IF(ISNUMBER(E74),E74*0.0689476,"")</f>
        <v/>
      </c>
      <c r="G74" s="123" t="str">
        <f>IF($A$38&lt;0.01,"",IF(AND(((POWER($A$38,2)*POWER((1/$A74),2)*40)&gt;10),((POWER($A$38,2)*POWER((1/$A74),2)*40)&lt;80)),(POWER($A$38,2)*POWER((1/$A74),2)*40),""))</f>
        <v/>
      </c>
      <c r="H74" s="124" t="str">
        <f t="shared" ref="H74:H90" si="7">IF($A$38=0,"",IF(ISNUMBER(G74),G74*0.0689476,""))</f>
        <v/>
      </c>
    </row>
    <row r="75" spans="1:14" ht="15.75" thickBot="1">
      <c r="A75" s="630">
        <v>6.7000000000000004E-2</v>
      </c>
      <c r="B75" s="630"/>
      <c r="C75" s="610" t="s">
        <v>3495</v>
      </c>
      <c r="D75" s="611"/>
      <c r="E75" s="121" t="str">
        <f t="shared" si="5"/>
        <v/>
      </c>
      <c r="F75" s="122" t="str">
        <f t="shared" si="6"/>
        <v/>
      </c>
      <c r="G75" s="123" t="str">
        <f t="shared" ref="G75:G90" si="8">IF($A$38&lt;0.01,"",IF(AND(((POWER($A$38,2)*POWER((1/$A75),2)*40)&gt;10),((POWER($A$38,2)*POWER((1/$A75),2)*40)&lt;80)),(POWER($A$38,2)*POWER((1/$A75),2)*40),""))</f>
        <v/>
      </c>
      <c r="H75" s="124" t="str">
        <f t="shared" si="7"/>
        <v/>
      </c>
    </row>
    <row r="76" spans="1:14" ht="15.75" thickBot="1">
      <c r="A76" s="625">
        <v>0.1</v>
      </c>
      <c r="B76" s="625"/>
      <c r="C76" s="610" t="s">
        <v>3496</v>
      </c>
      <c r="D76" s="611"/>
      <c r="E76" s="121" t="str">
        <f t="shared" si="5"/>
        <v/>
      </c>
      <c r="F76" s="122" t="str">
        <f t="shared" si="6"/>
        <v/>
      </c>
      <c r="G76" s="123" t="str">
        <f t="shared" si="8"/>
        <v/>
      </c>
      <c r="H76" s="124" t="str">
        <f t="shared" si="7"/>
        <v/>
      </c>
    </row>
    <row r="77" spans="1:14" ht="15.75" thickBot="1">
      <c r="A77" s="626">
        <v>0.15</v>
      </c>
      <c r="B77" s="626"/>
      <c r="C77" s="610" t="s">
        <v>3497</v>
      </c>
      <c r="D77" s="611"/>
      <c r="E77" s="121" t="str">
        <f>IF(AND(((POWER($A$16,2)*POWER((1/$A77),2)*40)&gt;10),((POWER($A$16,2)*POWER((1/$A77),2)*40)&lt;80)),(POWER($A$16,2)*POWER((1/$A77),2)*40),"")</f>
        <v/>
      </c>
      <c r="F77" s="122" t="str">
        <f t="shared" si="6"/>
        <v/>
      </c>
      <c r="G77" s="123" t="str">
        <f t="shared" si="8"/>
        <v/>
      </c>
      <c r="H77" s="124" t="str">
        <f t="shared" si="7"/>
        <v/>
      </c>
    </row>
    <row r="78" spans="1:14" ht="15.75" thickBot="1">
      <c r="A78" s="627">
        <v>0.2</v>
      </c>
      <c r="B78" s="627"/>
      <c r="C78" s="610" t="s">
        <v>3498</v>
      </c>
      <c r="D78" s="611"/>
      <c r="E78" s="121" t="str">
        <f t="shared" si="5"/>
        <v/>
      </c>
      <c r="F78" s="122" t="str">
        <f t="shared" si="6"/>
        <v/>
      </c>
      <c r="G78" s="123" t="str">
        <f t="shared" si="8"/>
        <v/>
      </c>
      <c r="H78" s="124" t="str">
        <f t="shared" si="7"/>
        <v/>
      </c>
    </row>
    <row r="79" spans="1:14" ht="15.75" thickBot="1">
      <c r="A79" s="622">
        <v>0.25</v>
      </c>
      <c r="B79" s="622"/>
      <c r="C79" s="610" t="s">
        <v>3499</v>
      </c>
      <c r="D79" s="611"/>
      <c r="E79" s="121" t="str">
        <f t="shared" si="5"/>
        <v/>
      </c>
      <c r="F79" s="122" t="str">
        <f t="shared" si="6"/>
        <v/>
      </c>
      <c r="G79" s="123" t="str">
        <f t="shared" si="8"/>
        <v/>
      </c>
      <c r="H79" s="124" t="str">
        <f t="shared" si="7"/>
        <v/>
      </c>
    </row>
    <row r="80" spans="1:14" ht="15.75" thickBot="1">
      <c r="A80" s="623">
        <v>0.3</v>
      </c>
      <c r="B80" s="623"/>
      <c r="C80" s="610" t="s">
        <v>3500</v>
      </c>
      <c r="D80" s="611"/>
      <c r="E80" s="121" t="str">
        <f t="shared" si="5"/>
        <v/>
      </c>
      <c r="F80" s="122" t="str">
        <f t="shared" si="6"/>
        <v/>
      </c>
      <c r="G80" s="123" t="str">
        <f t="shared" si="8"/>
        <v/>
      </c>
      <c r="H80" s="124" t="str">
        <f t="shared" si="7"/>
        <v/>
      </c>
    </row>
    <row r="81" spans="1:8" ht="15.75" thickBot="1">
      <c r="A81" s="624">
        <v>0.4</v>
      </c>
      <c r="B81" s="624"/>
      <c r="C81" s="610" t="s">
        <v>3501</v>
      </c>
      <c r="D81" s="611"/>
      <c r="E81" s="121" t="str">
        <f t="shared" si="5"/>
        <v/>
      </c>
      <c r="F81" s="122" t="str">
        <f t="shared" si="6"/>
        <v/>
      </c>
      <c r="G81" s="123" t="str">
        <f t="shared" si="8"/>
        <v/>
      </c>
      <c r="H81" s="124" t="str">
        <f t="shared" si="7"/>
        <v/>
      </c>
    </row>
    <row r="82" spans="1:8" ht="15.75" thickBot="1">
      <c r="A82" s="618">
        <v>0.5</v>
      </c>
      <c r="B82" s="619"/>
      <c r="C82" s="614" t="s">
        <v>3502</v>
      </c>
      <c r="D82" s="611"/>
      <c r="E82" s="121" t="str">
        <f t="shared" si="5"/>
        <v/>
      </c>
      <c r="F82" s="122" t="str">
        <f t="shared" si="6"/>
        <v/>
      </c>
      <c r="G82" s="123" t="str">
        <f t="shared" si="8"/>
        <v/>
      </c>
      <c r="H82" s="124" t="str">
        <f t="shared" si="7"/>
        <v/>
      </c>
    </row>
    <row r="83" spans="1:8" ht="15.75" thickBot="1">
      <c r="A83" s="620">
        <v>0.6</v>
      </c>
      <c r="B83" s="620"/>
      <c r="C83" s="610" t="s">
        <v>3503</v>
      </c>
      <c r="D83" s="611"/>
      <c r="E83" s="121" t="str">
        <f t="shared" si="5"/>
        <v/>
      </c>
      <c r="F83" s="122" t="str">
        <f t="shared" si="6"/>
        <v/>
      </c>
      <c r="G83" s="123" t="str">
        <f t="shared" si="8"/>
        <v/>
      </c>
      <c r="H83" s="124" t="str">
        <f t="shared" si="7"/>
        <v/>
      </c>
    </row>
    <row r="84" spans="1:8" ht="15.75" thickBot="1">
      <c r="A84" s="621">
        <v>0.8</v>
      </c>
      <c r="B84" s="621"/>
      <c r="C84" s="610" t="s">
        <v>3504</v>
      </c>
      <c r="D84" s="611"/>
      <c r="E84" s="121" t="str">
        <f t="shared" si="5"/>
        <v/>
      </c>
      <c r="F84" s="122" t="str">
        <f t="shared" si="6"/>
        <v/>
      </c>
      <c r="G84" s="123" t="str">
        <f t="shared" si="8"/>
        <v/>
      </c>
      <c r="H84" s="124" t="str">
        <f t="shared" si="7"/>
        <v/>
      </c>
    </row>
    <row r="85" spans="1:8" ht="15.75" thickBot="1">
      <c r="A85" s="615">
        <v>1</v>
      </c>
      <c r="B85" s="615"/>
      <c r="C85" s="610" t="s">
        <v>3505</v>
      </c>
      <c r="D85" s="611"/>
      <c r="E85" s="121" t="str">
        <f t="shared" si="5"/>
        <v/>
      </c>
      <c r="F85" s="122" t="str">
        <f t="shared" si="6"/>
        <v/>
      </c>
      <c r="G85" s="123" t="str">
        <f t="shared" si="8"/>
        <v/>
      </c>
      <c r="H85" s="124" t="str">
        <f t="shared" si="7"/>
        <v/>
      </c>
    </row>
    <row r="86" spans="1:8" ht="15.75" thickBot="1">
      <c r="A86" s="616">
        <v>1.25</v>
      </c>
      <c r="B86" s="616"/>
      <c r="C86" s="610" t="s">
        <v>3506</v>
      </c>
      <c r="D86" s="611"/>
      <c r="E86" s="121" t="str">
        <f t="shared" si="5"/>
        <v/>
      </c>
      <c r="F86" s="122" t="str">
        <f t="shared" si="6"/>
        <v/>
      </c>
      <c r="G86" s="123" t="str">
        <f t="shared" si="8"/>
        <v/>
      </c>
      <c r="H86" s="124" t="str">
        <f t="shared" si="7"/>
        <v/>
      </c>
    </row>
    <row r="87" spans="1:8" ht="15.75" thickBot="1">
      <c r="A87" s="617">
        <v>1.5</v>
      </c>
      <c r="B87" s="617"/>
      <c r="C87" s="610" t="s">
        <v>3507</v>
      </c>
      <c r="D87" s="611"/>
      <c r="E87" s="121" t="str">
        <f t="shared" si="5"/>
        <v/>
      </c>
      <c r="F87" s="122" t="str">
        <f t="shared" si="6"/>
        <v/>
      </c>
      <c r="G87" s="123" t="str">
        <f t="shared" si="8"/>
        <v/>
      </c>
      <c r="H87" s="124" t="str">
        <f t="shared" si="7"/>
        <v/>
      </c>
    </row>
    <row r="88" spans="1:8" ht="15.75" thickBot="1">
      <c r="A88" s="609">
        <v>2</v>
      </c>
      <c r="B88" s="609"/>
      <c r="C88" s="610" t="s">
        <v>3508</v>
      </c>
      <c r="D88" s="611"/>
      <c r="E88" s="121" t="str">
        <f t="shared" si="5"/>
        <v/>
      </c>
      <c r="F88" s="122" t="str">
        <f t="shared" si="6"/>
        <v/>
      </c>
      <c r="G88" s="123" t="str">
        <f t="shared" si="8"/>
        <v/>
      </c>
      <c r="H88" s="124" t="str">
        <f t="shared" si="7"/>
        <v/>
      </c>
    </row>
    <row r="89" spans="1:8" ht="15.75" thickBot="1">
      <c r="A89" s="612">
        <v>2.5</v>
      </c>
      <c r="B89" s="612"/>
      <c r="C89" s="610" t="s">
        <v>3509</v>
      </c>
      <c r="D89" s="611"/>
      <c r="E89" s="121" t="str">
        <f t="shared" si="5"/>
        <v/>
      </c>
      <c r="F89" s="122" t="str">
        <f t="shared" si="6"/>
        <v/>
      </c>
      <c r="G89" s="123" t="str">
        <f t="shared" si="8"/>
        <v/>
      </c>
      <c r="H89" s="124" t="str">
        <f t="shared" si="7"/>
        <v/>
      </c>
    </row>
    <row r="90" spans="1:8">
      <c r="A90" s="612">
        <v>3</v>
      </c>
      <c r="B90" s="613"/>
      <c r="C90" s="614" t="s">
        <v>3510</v>
      </c>
      <c r="D90" s="611"/>
      <c r="E90" s="121" t="str">
        <f t="shared" si="5"/>
        <v/>
      </c>
      <c r="F90" s="122" t="str">
        <f t="shared" si="6"/>
        <v/>
      </c>
      <c r="G90" s="123" t="str">
        <f t="shared" si="8"/>
        <v/>
      </c>
      <c r="H90" s="124" t="str">
        <f t="shared" si="7"/>
        <v/>
      </c>
    </row>
    <row r="91" spans="1:8">
      <c r="A91" s="602" t="s">
        <v>3492</v>
      </c>
      <c r="B91" s="602"/>
      <c r="C91" s="602"/>
      <c r="D91" s="602"/>
      <c r="E91" s="602"/>
      <c r="F91" s="602"/>
      <c r="G91" s="14"/>
      <c r="H91" s="14"/>
    </row>
    <row r="92" spans="1:8">
      <c r="A92" s="603"/>
      <c r="B92" s="603"/>
      <c r="C92" s="603"/>
      <c r="D92" s="603"/>
      <c r="E92" s="603"/>
      <c r="F92" s="603"/>
      <c r="G92" s="14"/>
      <c r="H92" s="14"/>
    </row>
    <row r="93" spans="1:8">
      <c r="A93" s="14"/>
      <c r="B93" s="14"/>
      <c r="C93" s="14"/>
      <c r="D93" s="14"/>
      <c r="E93" s="14"/>
      <c r="F93" s="14"/>
      <c r="G93" s="14"/>
      <c r="H93" s="14"/>
    </row>
    <row r="94" spans="1:8" ht="45.75" customHeight="1">
      <c r="A94" s="605" t="str">
        <f>CONCATENATE("Metering Orifice Selection Based on Options for ",A3," based on optimal pressures @ ",ROUND(E71,2)," us gpm:")</f>
        <v>Metering Orifice Selection Based on Options for Product 1 based on optimal pressures @ 0 us gpm:</v>
      </c>
      <c r="B94" s="605"/>
      <c r="C94" s="605"/>
      <c r="D94" s="605"/>
      <c r="E94" s="604"/>
      <c r="F94" s="604"/>
      <c r="G94" s="14"/>
      <c r="H94" s="14"/>
    </row>
    <row r="95" spans="1:8" ht="45.75" customHeight="1">
      <c r="A95" s="606" t="str">
        <f>IF(A38=0,"",CONCATENATE("Metering Orifice Selection Based on Options for ",A4," based on optimal pressures @ ",ROUND(G71,2)," us gpm:"))</f>
        <v/>
      </c>
      <c r="B95" s="607"/>
      <c r="C95" s="607"/>
      <c r="D95" s="607"/>
      <c r="E95" s="608"/>
      <c r="F95" s="608"/>
      <c r="G95" s="14"/>
      <c r="H95" s="14"/>
    </row>
    <row r="96" spans="1:8">
      <c r="A96" s="14"/>
      <c r="B96" s="14"/>
      <c r="C96" s="14"/>
      <c r="D96" s="14"/>
      <c r="E96" s="14"/>
      <c r="F96" s="14"/>
      <c r="G96" s="14"/>
      <c r="H96" s="14"/>
    </row>
    <row r="97" spans="1:8">
      <c r="A97" s="14"/>
      <c r="B97" s="14"/>
      <c r="C97" s="14"/>
      <c r="D97" s="14"/>
      <c r="E97" s="14"/>
      <c r="F97" s="14"/>
      <c r="G97" s="14"/>
      <c r="H97" s="14"/>
    </row>
    <row r="99" spans="1:8" ht="9.75" customHeight="1"/>
    <row r="109" spans="1:8" ht="9" customHeight="1"/>
    <row r="110" spans="1:8" collapsed="1"/>
    <row r="119" collapsed="1"/>
  </sheetData>
  <sheetProtection sheet="1" selectLockedCells="1"/>
  <dataConsolidate/>
  <mergeCells count="109">
    <mergeCell ref="J16:J17"/>
    <mergeCell ref="K16:K17"/>
    <mergeCell ref="I16:I17"/>
    <mergeCell ref="L16:L17"/>
    <mergeCell ref="I10:J11"/>
    <mergeCell ref="D22:E22"/>
    <mergeCell ref="A22:B22"/>
    <mergeCell ref="A20:B20"/>
    <mergeCell ref="D20:E20"/>
    <mergeCell ref="D21:E21"/>
    <mergeCell ref="A2:H2"/>
    <mergeCell ref="A9:H9"/>
    <mergeCell ref="A18:H18"/>
    <mergeCell ref="F19:H19"/>
    <mergeCell ref="A19:E19"/>
    <mergeCell ref="G4:H4"/>
    <mergeCell ref="B3:D3"/>
    <mergeCell ref="F20:H20"/>
    <mergeCell ref="F21:H21"/>
    <mergeCell ref="G11:H11"/>
    <mergeCell ref="G10:H10"/>
    <mergeCell ref="G12:H17"/>
    <mergeCell ref="A62:D62"/>
    <mergeCell ref="A61:D61"/>
    <mergeCell ref="A63:D63"/>
    <mergeCell ref="A21:B21"/>
    <mergeCell ref="B4:D4"/>
    <mergeCell ref="A15:C15"/>
    <mergeCell ref="D15:F15"/>
    <mergeCell ref="A25:H25"/>
    <mergeCell ref="F26:H26"/>
    <mergeCell ref="A26:E26"/>
    <mergeCell ref="F27:H27"/>
    <mergeCell ref="D27:E27"/>
    <mergeCell ref="A37:C37"/>
    <mergeCell ref="D37:F37"/>
    <mergeCell ref="A38:F38"/>
    <mergeCell ref="A11:F11"/>
    <mergeCell ref="F22:H22"/>
    <mergeCell ref="A10:F10"/>
    <mergeCell ref="F42:F44"/>
    <mergeCell ref="E42:E44"/>
    <mergeCell ref="A33:F33"/>
    <mergeCell ref="A16:F16"/>
    <mergeCell ref="F29:H29"/>
    <mergeCell ref="F28:H28"/>
    <mergeCell ref="A60:D60"/>
    <mergeCell ref="A44:B44"/>
    <mergeCell ref="A28:B28"/>
    <mergeCell ref="A27:B27"/>
    <mergeCell ref="C42:C43"/>
    <mergeCell ref="D42:D44"/>
    <mergeCell ref="A42:B42"/>
    <mergeCell ref="A43:B43"/>
    <mergeCell ref="A59:E59"/>
    <mergeCell ref="A40:H40"/>
    <mergeCell ref="G42:H44"/>
    <mergeCell ref="D28:E28"/>
    <mergeCell ref="D29:E29"/>
    <mergeCell ref="A29:B29"/>
    <mergeCell ref="A32:H32"/>
    <mergeCell ref="A73:B73"/>
    <mergeCell ref="C73:D73"/>
    <mergeCell ref="A74:B74"/>
    <mergeCell ref="C74:D74"/>
    <mergeCell ref="A75:B75"/>
    <mergeCell ref="C75:D75"/>
    <mergeCell ref="A69:H69"/>
    <mergeCell ref="A70:B72"/>
    <mergeCell ref="C70:D72"/>
    <mergeCell ref="E70:F70"/>
    <mergeCell ref="G70:H70"/>
    <mergeCell ref="E71:F71"/>
    <mergeCell ref="G71:H71"/>
    <mergeCell ref="A79:B79"/>
    <mergeCell ref="C79:D79"/>
    <mergeCell ref="A80:B80"/>
    <mergeCell ref="C80:D80"/>
    <mergeCell ref="A81:B81"/>
    <mergeCell ref="C81:D81"/>
    <mergeCell ref="A76:B76"/>
    <mergeCell ref="C76:D76"/>
    <mergeCell ref="A77:B77"/>
    <mergeCell ref="C77:D77"/>
    <mergeCell ref="A78:B78"/>
    <mergeCell ref="C78:D78"/>
    <mergeCell ref="A85:B85"/>
    <mergeCell ref="C85:D85"/>
    <mergeCell ref="A86:B86"/>
    <mergeCell ref="C86:D86"/>
    <mergeCell ref="A87:B87"/>
    <mergeCell ref="C87:D87"/>
    <mergeCell ref="A82:B82"/>
    <mergeCell ref="C82:D82"/>
    <mergeCell ref="A83:B83"/>
    <mergeCell ref="C83:D83"/>
    <mergeCell ref="A84:B84"/>
    <mergeCell ref="C84:D84"/>
    <mergeCell ref="A91:F92"/>
    <mergeCell ref="E94:F94"/>
    <mergeCell ref="A94:D94"/>
    <mergeCell ref="A95:D95"/>
    <mergeCell ref="E95:F95"/>
    <mergeCell ref="A88:B88"/>
    <mergeCell ref="C88:D88"/>
    <mergeCell ref="A89:B89"/>
    <mergeCell ref="C89:D89"/>
    <mergeCell ref="A90:B90"/>
    <mergeCell ref="C90:D90"/>
  </mergeCells>
  <phoneticPr fontId="1" type="noConversion"/>
  <conditionalFormatting sqref="H5">
    <cfRule type="expression" dxfId="214" priority="320">
      <formula>$G$5&gt;0</formula>
    </cfRule>
  </conditionalFormatting>
  <conditionalFormatting sqref="G5">
    <cfRule type="expression" dxfId="213" priority="84">
      <formula>$H$5&gt;0</formula>
    </cfRule>
  </conditionalFormatting>
  <conditionalFormatting sqref="F19">
    <cfRule type="expression" dxfId="212" priority="312">
      <formula>($F$19&gt;0)</formula>
    </cfRule>
    <cfRule type="containsErrors" dxfId="211" priority="325">
      <formula>ISERROR(F19)</formula>
    </cfRule>
  </conditionalFormatting>
  <conditionalFormatting sqref="A5:F5">
    <cfRule type="containsBlanks" dxfId="210" priority="359">
      <formula>LEN(TRIM(A5))=0</formula>
    </cfRule>
  </conditionalFormatting>
  <conditionalFormatting sqref="E5:H5">
    <cfRule type="notContainsBlanks" dxfId="209" priority="350">
      <formula>LEN(TRIM(E5))&gt;0</formula>
    </cfRule>
  </conditionalFormatting>
  <conditionalFormatting sqref="F26">
    <cfRule type="expression" dxfId="208" priority="305">
      <formula>($F$26&gt;0)</formula>
    </cfRule>
    <cfRule type="containsErrors" dxfId="207" priority="306">
      <formula>ISERROR(F26)</formula>
    </cfRule>
  </conditionalFormatting>
  <conditionalFormatting sqref="B14:C14 B36:C36">
    <cfRule type="expression" dxfId="206" priority="293">
      <formula>$C$14=0</formula>
    </cfRule>
    <cfRule type="expression" dxfId="205" priority="294">
      <formula>$C$14&gt;0</formula>
    </cfRule>
  </conditionalFormatting>
  <conditionalFormatting sqref="E14:F14 E36:F36">
    <cfRule type="expression" dxfId="204" priority="291">
      <formula>$F$14=0</formula>
    </cfRule>
    <cfRule type="expression" dxfId="203" priority="292">
      <formula>$F$14&gt;0</formula>
    </cfRule>
  </conditionalFormatting>
  <conditionalFormatting sqref="A5">
    <cfRule type="notContainsBlanks" dxfId="202" priority="321">
      <formula>LEN(TRIM(A5))&gt;0</formula>
    </cfRule>
  </conditionalFormatting>
  <conditionalFormatting sqref="D5">
    <cfRule type="expression" dxfId="201" priority="268">
      <formula>SUM($B$5:$C$5)&gt;0</formula>
    </cfRule>
  </conditionalFormatting>
  <conditionalFormatting sqref="C5:D5">
    <cfRule type="notContainsBlanks" dxfId="200" priority="290">
      <formula>LEN(TRIM(C5))&gt;0</formula>
    </cfRule>
  </conditionalFormatting>
  <conditionalFormatting sqref="B5">
    <cfRule type="expression" dxfId="199" priority="266">
      <formula>SUM($C$5:$D$5)&gt;0</formula>
    </cfRule>
    <cfRule type="notContainsBlanks" dxfId="198" priority="322">
      <formula>LEN(TRIM(B5))&gt;0</formula>
    </cfRule>
  </conditionalFormatting>
  <conditionalFormatting sqref="C5">
    <cfRule type="expression" dxfId="197" priority="267">
      <formula>SUM($B$5,$D$5)&gt;0</formula>
    </cfRule>
  </conditionalFormatting>
  <conditionalFormatting sqref="B3">
    <cfRule type="expression" dxfId="196" priority="360">
      <formula>OR(SUM($B$8:$D$8)&gt;1.3,SUM($B$8:$D$8)&lt;0.89)</formula>
    </cfRule>
  </conditionalFormatting>
  <conditionalFormatting sqref="E60">
    <cfRule type="cellIs" dxfId="195" priority="79" operator="equal">
      <formula>FALSE</formula>
    </cfRule>
    <cfRule type="expression" dxfId="194" priority="259">
      <formula>$E$60</formula>
    </cfRule>
  </conditionalFormatting>
  <conditionalFormatting sqref="A43:B43">
    <cfRule type="cellIs" dxfId="193" priority="80" operator="equal">
      <formula>FALSE</formula>
    </cfRule>
    <cfRule type="notContainsBlanks" dxfId="192" priority="97">
      <formula>LEN(TRIM(A43))&gt;0</formula>
    </cfRule>
  </conditionalFormatting>
  <conditionalFormatting sqref="A10:F10">
    <cfRule type="notContainsBlanks" dxfId="191" priority="92">
      <formula>LEN(TRIM(A10))&gt;0</formula>
    </cfRule>
  </conditionalFormatting>
  <conditionalFormatting sqref="G5:H5">
    <cfRule type="containsBlanks" dxfId="190" priority="351">
      <formula>LEN(TRIM(G5))=0</formula>
    </cfRule>
  </conditionalFormatting>
  <conditionalFormatting sqref="B45:B57">
    <cfRule type="expression" dxfId="189" priority="78">
      <formula>$B$45&lt;=0</formula>
    </cfRule>
  </conditionalFormatting>
  <conditionalFormatting sqref="G70:H70 G72:H90">
    <cfRule type="expression" dxfId="188" priority="77">
      <formula>$A$38&gt;0.001</formula>
    </cfRule>
  </conditionalFormatting>
  <conditionalFormatting sqref="E73:E90 G73:G90">
    <cfRule type="cellIs" dxfId="187" priority="76" operator="between">
      <formula>10</formula>
      <formula>60</formula>
    </cfRule>
  </conditionalFormatting>
  <conditionalFormatting sqref="F73:F90 H73:H90">
    <cfRule type="cellIs" dxfId="186" priority="75" operator="between">
      <formula>0.9</formula>
      <formula>6</formula>
    </cfRule>
  </conditionalFormatting>
  <conditionalFormatting sqref="A68:H97">
    <cfRule type="expression" dxfId="185" priority="72">
      <formula>$F$21="no"</formula>
    </cfRule>
  </conditionalFormatting>
  <conditionalFormatting sqref="A95:F95">
    <cfRule type="expression" dxfId="184" priority="73">
      <formula>ISNUMBER($G$71)</formula>
    </cfRule>
  </conditionalFormatting>
  <conditionalFormatting sqref="A12">
    <cfRule type="expression" dxfId="183" priority="54">
      <formula>SUM($B$12:$F$12)&gt;0</formula>
    </cfRule>
  </conditionalFormatting>
  <conditionalFormatting sqref="B12:C12">
    <cfRule type="expression" dxfId="182" priority="53">
      <formula>SUM($A$12,$D$12:$F$12)&gt;0</formula>
    </cfRule>
  </conditionalFormatting>
  <conditionalFormatting sqref="D12">
    <cfRule type="expression" dxfId="181" priority="52">
      <formula>SUM($A$12:$C$12,$E$12:$F$12)&gt;0</formula>
    </cfRule>
  </conditionalFormatting>
  <conditionalFormatting sqref="E12:F12">
    <cfRule type="expression" dxfId="180" priority="51">
      <formula>SUM($A$12:$D$12)&gt;0</formula>
    </cfRule>
  </conditionalFormatting>
  <conditionalFormatting sqref="C12">
    <cfRule type="expression" dxfId="179" priority="55">
      <formula>SUM($A$12,$D$12:$F$12)&lt;B12</formula>
    </cfRule>
  </conditionalFormatting>
  <conditionalFormatting sqref="B12">
    <cfRule type="expression" dxfId="178" priority="56">
      <formula>SUM($A$12,$D$12:$F$12)&lt;C12</formula>
    </cfRule>
  </conditionalFormatting>
  <conditionalFormatting sqref="E12">
    <cfRule type="expression" dxfId="177" priority="57">
      <formula>SUM($A$12:$D$12)&lt;F12</formula>
    </cfRule>
  </conditionalFormatting>
  <conditionalFormatting sqref="F12">
    <cfRule type="expression" dxfId="176" priority="58">
      <formula>SUM($A$12:$D$12)&lt;E12</formula>
    </cfRule>
  </conditionalFormatting>
  <conditionalFormatting sqref="A12:F12">
    <cfRule type="notContainsBlanks" dxfId="175" priority="59">
      <formula>LEN(TRIM(A12))&gt;0</formula>
    </cfRule>
    <cfRule type="containsBlanks" dxfId="174" priority="60">
      <formula>LEN(TRIM(A12))=0</formula>
    </cfRule>
  </conditionalFormatting>
  <conditionalFormatting sqref="F21">
    <cfRule type="notContainsBlanks" dxfId="173" priority="45">
      <formula>LEN(TRIM(F21))&gt;0</formula>
    </cfRule>
  </conditionalFormatting>
  <conditionalFormatting sqref="A21 C21:D21">
    <cfRule type="expression" dxfId="172" priority="46">
      <formula>AND($A$21=0,$D$21&gt;0)</formula>
    </cfRule>
  </conditionalFormatting>
  <conditionalFormatting sqref="A21">
    <cfRule type="expression" dxfId="171" priority="47">
      <formula>AND($A$21=0,$C$21&gt;0)</formula>
    </cfRule>
    <cfRule type="notContainsBlanks" dxfId="170" priority="48">
      <formula>LEN(TRIM(A21))&gt;0</formula>
    </cfRule>
  </conditionalFormatting>
  <conditionalFormatting sqref="A21 C21">
    <cfRule type="expression" dxfId="169" priority="49">
      <formula>AND($A$21&gt;0,$C$21&gt;0)</formula>
    </cfRule>
  </conditionalFormatting>
  <conditionalFormatting sqref="D21">
    <cfRule type="expression" dxfId="168" priority="50">
      <formula>AND($A$21&gt;0,$C$21&gt;0,$D$21&gt;0)</formula>
    </cfRule>
  </conditionalFormatting>
  <conditionalFormatting sqref="A21:H21">
    <cfRule type="containsBlanks" dxfId="167" priority="44">
      <formula>LEN(TRIM(A21))=0</formula>
    </cfRule>
  </conditionalFormatting>
  <conditionalFormatting sqref="A28">
    <cfRule type="expression" dxfId="166" priority="39">
      <formula>AND($A$28=0,$C$28&gt;0)</formula>
    </cfRule>
    <cfRule type="notContainsBlanks" dxfId="165" priority="40">
      <formula>LEN(TRIM(A28))&gt;0</formula>
    </cfRule>
  </conditionalFormatting>
  <conditionalFormatting sqref="A28 C28">
    <cfRule type="expression" dxfId="164" priority="41">
      <formula>AND($A$28&gt;0,$C$28&gt;0)</formula>
    </cfRule>
  </conditionalFormatting>
  <conditionalFormatting sqref="D28">
    <cfRule type="expression" dxfId="163" priority="42">
      <formula>AND($A$28&gt;0,$C$28&gt;0,$D$28&gt;0)</formula>
    </cfRule>
  </conditionalFormatting>
  <conditionalFormatting sqref="A28 C28:D28">
    <cfRule type="expression" dxfId="162" priority="43">
      <formula>AND($C$28=0,$D$28&gt;0)</formula>
    </cfRule>
  </conditionalFormatting>
  <conditionalFormatting sqref="F28:H28">
    <cfRule type="notContainsBlanks" dxfId="161" priority="38">
      <formula>LEN(TRIM(F28))&gt;0</formula>
    </cfRule>
  </conditionalFormatting>
  <conditionalFormatting sqref="A28:H28">
    <cfRule type="containsBlanks" dxfId="160" priority="37">
      <formula>LEN(TRIM(A28))=0</formula>
    </cfRule>
  </conditionalFormatting>
  <conditionalFormatting sqref="A34">
    <cfRule type="expression" dxfId="159" priority="10">
      <formula>SUM($B$34:$F$34)&gt;0</formula>
    </cfRule>
  </conditionalFormatting>
  <conditionalFormatting sqref="B34:C34">
    <cfRule type="expression" dxfId="158" priority="9">
      <formula>SUM($A$34,$D$34:$F$34)&gt;0</formula>
    </cfRule>
  </conditionalFormatting>
  <conditionalFormatting sqref="D34">
    <cfRule type="expression" dxfId="157" priority="8">
      <formula>SUM($A$34:$C$34,$E$34:$F$34)&gt;0</formula>
    </cfRule>
  </conditionalFormatting>
  <conditionalFormatting sqref="E34:F34">
    <cfRule type="expression" dxfId="156" priority="7">
      <formula>SUM($A$34:$D$34)&gt;0</formula>
    </cfRule>
  </conditionalFormatting>
  <conditionalFormatting sqref="C34">
    <cfRule type="expression" dxfId="155" priority="11">
      <formula>SUM($A$34,$D$34:$F$34)&lt;B34</formula>
    </cfRule>
  </conditionalFormatting>
  <conditionalFormatting sqref="B34">
    <cfRule type="expression" dxfId="154" priority="12">
      <formula>SUM($A$34,$D$34:$F$34)&lt;C34</formula>
    </cfRule>
  </conditionalFormatting>
  <conditionalFormatting sqref="E34">
    <cfRule type="expression" dxfId="153" priority="13">
      <formula>SUM($A$34:$D$34)&lt;F34</formula>
    </cfRule>
  </conditionalFormatting>
  <conditionalFormatting sqref="F34">
    <cfRule type="expression" dxfId="152" priority="14">
      <formula>SUM($A$34:$D$34)&lt;E34</formula>
    </cfRule>
  </conditionalFormatting>
  <conditionalFormatting sqref="A34:F34">
    <cfRule type="notContainsBlanks" dxfId="151" priority="15">
      <formula>LEN(TRIM(A34))&gt;0</formula>
    </cfRule>
    <cfRule type="containsBlanks" dxfId="150" priority="16">
      <formula>LEN(TRIM(A34))=0</formula>
    </cfRule>
  </conditionalFormatting>
  <conditionalFormatting sqref="G11:H11">
    <cfRule type="expression" dxfId="149" priority="4">
      <formula>AND(G11="Standard",$A$16&lt;2.7,$A$16&gt;0.07)</formula>
    </cfRule>
    <cfRule type="expression" dxfId="148" priority="5">
      <formula>AND(G11="Low Flow",$A$16&lt;0.65,$A$16&gt;0.05)</formula>
    </cfRule>
    <cfRule type="expression" dxfId="147" priority="6">
      <formula>AND(G11="Ultra Low",$A$16&lt;0.24,$A$16&gt;0.01)</formula>
    </cfRule>
  </conditionalFormatting>
  <conditionalFormatting sqref="J12:J17">
    <cfRule type="containsErrors" dxfId="146" priority="1">
      <formula>ISERROR(J12)</formula>
    </cfRule>
    <cfRule type="cellIs" dxfId="145" priority="2" operator="greaterThan">
      <formula>1.5</formula>
    </cfRule>
    <cfRule type="colorScale" priority="3">
      <colorScale>
        <cfvo type="percent" val="0"/>
        <cfvo type="percent" val="100"/>
        <color theme="5" tint="-0.249977111117893"/>
        <color rgb="FF00B050"/>
      </colorScale>
    </cfRule>
  </conditionalFormatting>
  <dataValidations xWindow="906" yWindow="461" count="15">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36A075D4-CBFC-4D51-8490-68C9DDBBE831}">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BAFB4E40-7672-4472-B183-50AB87C0687D}">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7E388744-4DEC-4FB0-BA32-842A917A8AC8}">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DF8DB49D-4B83-461E-B1B9-28441842635C}">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0C9D8358-29CD-4953-8792-EE2DCB559442}">
      <formula1>0</formula1>
    </dataValidation>
    <dataValidation type="list" allowBlank="1" showInputMessage="1" showErrorMessage="1" promptTitle="Select Inlet Fitting Type" prompt="Select from the listing of fittings from the dropdown menu." sqref="A28" xr:uid="{F6AB7B54-CA3E-4B4A-9BAD-4629BF8583EA}">
      <formula1>InletTypes_query</formula1>
    </dataValidation>
    <dataValidation type="decimal" operator="greaterThan" allowBlank="1" showInputMessage="1" showErrorMessage="1" sqref="C5:D5" xr:uid="{40326500-721A-4044-8228-EBDDBF544574}">
      <formula1>0</formula1>
    </dataValidation>
    <dataValidation type="whole" allowBlank="1" showInputMessage="1" showErrorMessage="1" sqref="B45:B57" xr:uid="{0DD5CC0C-AE37-4E89-A5EB-DF4BF9565D49}">
      <formula1>0</formula1>
      <formula2>196</formula2>
    </dataValidation>
    <dataValidation type="list" allowBlank="1" showInputMessage="1" showErrorMessage="1" promptTitle="Select Outlet Orientation" prompt="Select from the listing of orientations from the dropdown menu." sqref="C21" xr:uid="{272A4E50-2D84-443F-9290-C47A38B28290}">
      <formula1>INDIRECT($A$21)</formula1>
    </dataValidation>
    <dataValidation type="list" allowBlank="1" showInputMessage="1" showErrorMessage="1" promptTitle="Select Inlet Orientation" prompt="Select from the listing of orientations from the dropdown menu." sqref="C28" xr:uid="{18C61CA3-F81C-4A10-9D08-47CC357B84EF}">
      <formula1>INDIRECT($A$28)</formula1>
    </dataValidation>
    <dataValidation type="list" allowBlank="1" showInputMessage="1" showErrorMessage="1" promptTitle="Select Outlet Fitting Type" prompt="Select from the listing of fittings from the dropdown menu." sqref="C21" xr:uid="{8408F4B3-87E7-4C7D-A9C5-5504D35DBF41}">
      <formula1>INDIRECT($A$21)</formula1>
    </dataValidation>
    <dataValidation type="list" allowBlank="1" showInputMessage="1" showErrorMessage="1" promptTitle="Select Outlet Size" prompt="Select from the listing of fittings from the dropdown menu." sqref="D21" xr:uid="{7CCEDA8B-74C1-45CA-B9A6-5EA731592440}">
      <formula1>INDIRECT($B$23)</formula1>
    </dataValidation>
    <dataValidation type="list" allowBlank="1" showInputMessage="1" showErrorMessage="1" promptTitle="Select Manifold Inlet Size" prompt="Select from the listing of fittings from the dropdown menu." sqref="D28:E28" xr:uid="{B975D0A8-AD4E-4FC4-8BE2-31C70AC75379}">
      <formula1>INDIRECT($B$30)</formula1>
    </dataValidation>
    <dataValidation type="list" allowBlank="1" showInputMessage="1" showErrorMessage="1" sqref="E94:F95" xr:uid="{520C12FC-D814-4F26-8DE3-731DC1A82726}">
      <formula1>$C$73:$C$90</formula1>
    </dataValidation>
    <dataValidation type="list" allowBlank="1" showInputMessage="1" showErrorMessage="1" sqref="G11:H11" xr:uid="{9C288C03-F1FF-4AF0-8C1E-7AAA2BB3482D}">
      <formula1>flowcolumn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906" yWindow="461" count="3">
        <x14:dataValidation type="list" allowBlank="1" showInputMessage="1" showErrorMessage="1" promptTitle="Are metering orifices required?" prompt="Select YES or NO from pull-down chart" xr:uid="{295AB3F6-2840-4F2D-9F04-2300B3C3ABCC}">
          <x14:formula1>
            <xm:f>AdministrationPage!$G$2:$G$3</xm:f>
          </x14:formula1>
          <xm:sqref>F21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9BDB2DA0-4E38-440C-9475-28BD92525478}">
          <x14:formula1>
            <xm:f>AdministrationPage!$F$2:$F$4</xm:f>
          </x14:formula1>
          <xm:sqref>F28</xm:sqref>
        </x14:dataValidation>
        <x14:dataValidation type="list" allowBlank="1" showInputMessage="1" showErrorMessage="1" promptTitle="Select Outlet Fitting Type" prompt="Select from the listing of fittings from the dropdown menu." xr:uid="{C22B0620-1DEB-41AB-B7CD-AE77009154D7}">
          <x14:formula1>
            <xm:f>AdministrationPage!$A$2:$A$6</xm:f>
          </x14:formula1>
          <xm:sqref>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DE96-0792-4170-9AF9-5BBE5868F16D}">
  <dimension ref="A1:AK119"/>
  <sheetViews>
    <sheetView zoomScaleNormal="100" workbookViewId="0">
      <selection activeCell="A5" sqref="A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9" width="12.28515625" style="8" customWidth="1"/>
    <col min="10" max="10" width="14" style="8" customWidth="1"/>
    <col min="11" max="11" width="12.28515625" style="8" bestFit="1" customWidth="1"/>
    <col min="12" max="12" width="13.85546875" style="8" customWidth="1"/>
    <col min="13" max="13" width="24.85546875" style="8" customWidth="1"/>
    <col min="14" max="14" width="16.140625" style="8" customWidth="1"/>
    <col min="15" max="15" width="24.5703125" style="8" customWidth="1"/>
    <col min="16" max="16" width="18.85546875" style="8" customWidth="1"/>
    <col min="17" max="17" width="16" style="8" customWidth="1"/>
    <col min="18" max="18" width="20" style="8" customWidth="1"/>
    <col min="19" max="19" width="20.28515625" style="8" customWidth="1"/>
    <col min="20" max="20" width="23.85546875" style="8" customWidth="1"/>
    <col min="21" max="21" width="16.42578125" style="8" customWidth="1"/>
    <col min="22" max="22" width="23.42578125" style="8" customWidth="1"/>
    <col min="23" max="23" width="12.85546875" style="8" customWidth="1"/>
    <col min="24" max="24" width="11.140625" style="8" bestFit="1" customWidth="1"/>
    <col min="25" max="25" width="14.5703125" style="8" customWidth="1"/>
    <col min="26" max="27" width="9.140625" style="8"/>
    <col min="28" max="28" width="12.28515625" style="8" bestFit="1" customWidth="1"/>
    <col min="29" max="30" width="9.140625" style="8"/>
    <col min="31" max="31" width="12" style="8" bestFit="1" customWidth="1"/>
    <col min="32" max="16384" width="9.140625" style="8"/>
  </cols>
  <sheetData>
    <row r="1" spans="1:37" ht="33.75">
      <c r="A1" s="61" t="s">
        <v>3654</v>
      </c>
      <c r="B1" s="14"/>
      <c r="C1" s="14"/>
      <c r="D1" s="14"/>
      <c r="E1" s="14"/>
      <c r="F1" s="14"/>
      <c r="G1" s="14"/>
      <c r="H1" s="14"/>
    </row>
    <row r="2" spans="1:37" ht="21">
      <c r="A2" s="669" t="str">
        <f>CONCATENATE(A3, " Setup")</f>
        <v>Product 2 Setup</v>
      </c>
      <c r="B2" s="669"/>
      <c r="C2" s="669"/>
      <c r="D2" s="669"/>
      <c r="E2" s="669"/>
      <c r="F2" s="669"/>
      <c r="G2" s="669"/>
      <c r="H2" s="669"/>
    </row>
    <row r="3" spans="1:37" s="9" customFormat="1">
      <c r="A3" s="62" t="str">
        <f>IF(A5="","Product 2",A5)</f>
        <v>Product 2</v>
      </c>
      <c r="B3" s="673" t="s">
        <v>119</v>
      </c>
      <c r="C3" s="673"/>
      <c r="D3" s="673"/>
      <c r="E3" s="18"/>
      <c r="F3" s="18"/>
      <c r="G3" s="15"/>
      <c r="H3" s="15"/>
    </row>
    <row r="4" spans="1:37" s="9" customFormat="1" ht="30" customHeight="1">
      <c r="A4" s="92" t="s">
        <v>31</v>
      </c>
      <c r="B4" s="662" t="s">
        <v>110</v>
      </c>
      <c r="C4" s="663"/>
      <c r="D4" s="664"/>
      <c r="E4" s="92" t="s">
        <v>8</v>
      </c>
      <c r="F4" s="92" t="s">
        <v>10</v>
      </c>
      <c r="G4" s="651" t="s">
        <v>3480</v>
      </c>
      <c r="H4" s="651"/>
    </row>
    <row r="5" spans="1:37" s="9" customFormat="1">
      <c r="A5" s="93"/>
      <c r="B5" s="93"/>
      <c r="C5" s="93"/>
      <c r="D5" s="93"/>
      <c r="E5" s="93"/>
      <c r="F5" s="93"/>
      <c r="G5" s="93"/>
      <c r="H5" s="93"/>
    </row>
    <row r="6" spans="1:37" s="9" customFormat="1" ht="106.5" customHeight="1">
      <c r="A6" s="90" t="s">
        <v>13</v>
      </c>
      <c r="B6" s="90" t="s">
        <v>113</v>
      </c>
      <c r="C6" s="90" t="s">
        <v>117</v>
      </c>
      <c r="D6" s="90" t="s">
        <v>118</v>
      </c>
      <c r="E6" s="90" t="s">
        <v>112</v>
      </c>
      <c r="F6" s="90" t="s">
        <v>3471</v>
      </c>
      <c r="G6" s="91" t="s">
        <v>0</v>
      </c>
      <c r="H6" s="91" t="s">
        <v>1</v>
      </c>
    </row>
    <row r="7" spans="1:37" s="143" customFormat="1" hidden="1">
      <c r="A7" s="129"/>
      <c r="B7" s="130" t="s">
        <v>120</v>
      </c>
      <c r="C7" s="130"/>
      <c r="D7" s="131">
        <f>IF(MAX(B8:D8)=0,1,MAX(B8:D8))</f>
        <v>1</v>
      </c>
      <c r="E7" s="129"/>
      <c r="F7" s="129"/>
      <c r="G7" s="129"/>
      <c r="H7" s="129"/>
    </row>
    <row r="8" spans="1:37" s="143" customFormat="1" hidden="1">
      <c r="A8" s="132"/>
      <c r="B8" s="133">
        <f>SQRT(B5/1)</f>
        <v>0</v>
      </c>
      <c r="C8" s="133">
        <f>SQRT(C5/8.34)</f>
        <v>0</v>
      </c>
      <c r="D8" s="133">
        <f>SQRT(D5)</f>
        <v>0</v>
      </c>
      <c r="E8" s="132"/>
      <c r="F8" s="129"/>
      <c r="G8" s="129"/>
      <c r="H8" s="129"/>
    </row>
    <row r="9" spans="1:37" ht="21">
      <c r="A9" s="631" t="str">
        <f>CONCATENATE("Primary Flow Rate For ",A3)</f>
        <v>Primary Flow Rate For Product 2</v>
      </c>
      <c r="B9" s="631"/>
      <c r="C9" s="631"/>
      <c r="D9" s="631"/>
      <c r="E9" s="631"/>
      <c r="F9" s="631"/>
      <c r="G9" s="631"/>
      <c r="H9" s="631"/>
      <c r="Z9" s="34"/>
      <c r="AA9" s="35"/>
      <c r="AB9" s="35"/>
      <c r="AC9" s="35"/>
      <c r="AD9" s="35"/>
      <c r="AE9" s="35"/>
    </row>
    <row r="10" spans="1:37" ht="15" customHeight="1">
      <c r="A10" s="639" t="str">
        <f>IF(A16&gt;1.53,"Please verify flow rate. You may be operating outside of operational flow range.",IF(A16&lt;0.04,"Please verify flow rate. You may be operating outside of operational flow range.",""))</f>
        <v>Please verify flow rate. You may be operating outside of operational flow range.</v>
      </c>
      <c r="B10" s="639"/>
      <c r="C10" s="639"/>
      <c r="D10" s="639"/>
      <c r="E10" s="639"/>
      <c r="F10" s="639"/>
      <c r="G10" s="676" t="s">
        <v>3649</v>
      </c>
      <c r="H10" s="676"/>
      <c r="I10" s="682" t="s">
        <v>3656</v>
      </c>
      <c r="J10" s="682"/>
      <c r="K10" s="133"/>
      <c r="L10" s="132"/>
      <c r="R10" s="34"/>
      <c r="S10" s="35"/>
      <c r="T10" s="35"/>
      <c r="U10" s="35"/>
      <c r="V10" s="35"/>
      <c r="W10" s="35"/>
      <c r="AF10" s="34"/>
      <c r="AG10" s="35"/>
      <c r="AH10" s="35"/>
      <c r="AI10" s="35"/>
      <c r="AJ10" s="35"/>
      <c r="AK10" s="35"/>
    </row>
    <row r="11" spans="1:37">
      <c r="A11" s="651" t="s">
        <v>29</v>
      </c>
      <c r="B11" s="651"/>
      <c r="C11" s="651"/>
      <c r="D11" s="651"/>
      <c r="E11" s="651"/>
      <c r="F11" s="651"/>
      <c r="G11" s="674"/>
      <c r="H11" s="674"/>
      <c r="I11" s="682"/>
      <c r="J11" s="682"/>
      <c r="K11" s="16" t="s">
        <v>3658</v>
      </c>
      <c r="L11" s="16" t="s">
        <v>3657</v>
      </c>
      <c r="R11" s="34"/>
      <c r="S11" s="35"/>
      <c r="T11" s="35"/>
      <c r="U11" s="35"/>
      <c r="V11" s="35"/>
      <c r="W11" s="35"/>
      <c r="AF11" s="34"/>
      <c r="AG11" s="35"/>
      <c r="AH11" s="35"/>
      <c r="AI11" s="35"/>
      <c r="AJ11" s="35"/>
      <c r="AK11" s="35"/>
    </row>
    <row r="12" spans="1:37">
      <c r="A12" s="144"/>
      <c r="B12" s="144"/>
      <c r="C12" s="144"/>
      <c r="D12" s="144"/>
      <c r="E12" s="144"/>
      <c r="F12" s="144"/>
      <c r="G12" s="678" t="s">
        <v>3653</v>
      </c>
      <c r="H12" s="678"/>
      <c r="I12" s="452" t="s">
        <v>3648</v>
      </c>
      <c r="J12" s="467" t="e">
        <f>IF(K12&lt;1.05,IF(L12&lt;1.01,(K12+L12)/2,"Too small"),"Too large")</f>
        <v>#DIV/0!</v>
      </c>
      <c r="K12" s="468" t="e">
        <f>(1-(0.01/A16))</f>
        <v>#DIV/0!</v>
      </c>
      <c r="L12" s="468">
        <f>A16/0.24</f>
        <v>0</v>
      </c>
      <c r="R12" s="34"/>
      <c r="S12" s="35"/>
      <c r="T12" s="35"/>
      <c r="U12" s="35"/>
      <c r="V12" s="35"/>
      <c r="W12" s="35"/>
      <c r="AF12" s="34"/>
      <c r="AG12" s="35"/>
      <c r="AH12" s="35"/>
      <c r="AI12" s="35"/>
      <c r="AJ12" s="35"/>
      <c r="AK12" s="35"/>
    </row>
    <row r="13" spans="1:37" ht="30">
      <c r="A13" s="91" t="s">
        <v>3</v>
      </c>
      <c r="B13" s="91" t="s">
        <v>5</v>
      </c>
      <c r="C13" s="91" t="s">
        <v>32</v>
      </c>
      <c r="D13" s="91" t="s">
        <v>4</v>
      </c>
      <c r="E13" s="91" t="s">
        <v>3655</v>
      </c>
      <c r="F13" s="91" t="s">
        <v>33</v>
      </c>
      <c r="G13" s="678"/>
      <c r="H13" s="678"/>
      <c r="I13" s="465" t="s">
        <v>3651</v>
      </c>
      <c r="J13" s="467" t="e">
        <f>IF(K13&lt;1,IF(L13&lt;1,(K13+L13)/2,"Too small"),"Too large")</f>
        <v>#DIV/0!</v>
      </c>
      <c r="K13" s="468" t="e">
        <f>(1-(0.06/A16))</f>
        <v>#DIV/0!</v>
      </c>
      <c r="L13" s="468">
        <f>A16/0.65</f>
        <v>0</v>
      </c>
      <c r="R13" s="34"/>
      <c r="S13" s="35"/>
      <c r="T13" s="35"/>
      <c r="U13" s="35"/>
      <c r="V13" s="35"/>
      <c r="W13" s="35"/>
      <c r="AF13" s="34"/>
      <c r="AG13" s="35"/>
      <c r="AH13" s="35"/>
      <c r="AI13" s="35"/>
      <c r="AJ13" s="35"/>
      <c r="AK13" s="35"/>
    </row>
    <row r="14" spans="1:37" ht="15" hidden="1" customHeight="1">
      <c r="A14" s="64">
        <f>A12*D7</f>
        <v>0</v>
      </c>
      <c r="B14" s="65" t="s">
        <v>109</v>
      </c>
      <c r="C14" s="66">
        <f>((B12*C12*H5)/5940)*D7</f>
        <v>0</v>
      </c>
      <c r="D14" s="64">
        <f>D12*D7</f>
        <v>0</v>
      </c>
      <c r="E14" s="65" t="s">
        <v>109</v>
      </c>
      <c r="F14" s="67">
        <f>(((G5/100)*E12*F12)/600)*D7</f>
        <v>0</v>
      </c>
      <c r="G14" s="678"/>
      <c r="H14" s="678"/>
      <c r="I14" s="465"/>
      <c r="J14" s="467">
        <f>K14-L14</f>
        <v>0</v>
      </c>
      <c r="K14" s="468"/>
      <c r="L14" s="468"/>
      <c r="R14" s="34"/>
      <c r="S14" s="35"/>
      <c r="T14" s="35"/>
      <c r="U14" s="35"/>
      <c r="V14" s="35"/>
      <c r="W14" s="35"/>
      <c r="AF14" s="34"/>
      <c r="AG14" s="35"/>
      <c r="AH14" s="35"/>
      <c r="AI14" s="35"/>
      <c r="AJ14" s="35"/>
      <c r="AK14" s="35"/>
    </row>
    <row r="15" spans="1:37" ht="15" hidden="1" customHeight="1">
      <c r="A15" s="665">
        <f>MAX(A14,C14)</f>
        <v>0</v>
      </c>
      <c r="B15" s="665"/>
      <c r="C15" s="665"/>
      <c r="D15" s="666">
        <f>MAX(D14,F14)</f>
        <v>0</v>
      </c>
      <c r="E15" s="666"/>
      <c r="F15" s="666"/>
      <c r="G15" s="678"/>
      <c r="H15" s="678"/>
      <c r="I15" s="465"/>
      <c r="J15" s="467">
        <f>K15-L15</f>
        <v>0</v>
      </c>
      <c r="K15" s="468"/>
      <c r="L15" s="468"/>
      <c r="R15" s="34"/>
      <c r="S15" s="35"/>
      <c r="T15" s="35"/>
      <c r="U15" s="35"/>
      <c r="V15" s="35"/>
      <c r="W15" s="35"/>
      <c r="AF15" s="34"/>
      <c r="AG15" s="35"/>
      <c r="AH15" s="35"/>
      <c r="AI15" s="35"/>
      <c r="AJ15" s="35"/>
      <c r="AK15" s="35"/>
    </row>
    <row r="16" spans="1:37">
      <c r="A16" s="665">
        <f>MAX(A15,(D15/3.7851))</f>
        <v>0</v>
      </c>
      <c r="B16" s="639"/>
      <c r="C16" s="639"/>
      <c r="D16" s="639"/>
      <c r="E16" s="639"/>
      <c r="F16" s="639"/>
      <c r="G16" s="678"/>
      <c r="H16" s="678"/>
      <c r="I16" s="696" t="s">
        <v>3652</v>
      </c>
      <c r="J16" s="679" t="e">
        <f>IF(K16&lt;1.05,IF(L16&lt;1,(K16+L16)/2,"Too small"),"Too large")</f>
        <v>#DIV/0!</v>
      </c>
      <c r="K16" s="680" t="e">
        <f>(1-(0.1/A16))</f>
        <v>#DIV/0!</v>
      </c>
      <c r="L16" s="680">
        <f>A16/2.7</f>
        <v>0</v>
      </c>
      <c r="R16" s="34"/>
      <c r="S16" s="35"/>
      <c r="T16" s="35"/>
      <c r="U16" s="35"/>
      <c r="V16" s="35"/>
      <c r="W16" s="35"/>
      <c r="AF16" s="34"/>
      <c r="AG16" s="35"/>
      <c r="AH16" s="35"/>
      <c r="AI16" s="35"/>
      <c r="AJ16" s="35"/>
      <c r="AK16" s="35"/>
    </row>
    <row r="17" spans="1:37">
      <c r="A17" s="68"/>
      <c r="B17" s="17"/>
      <c r="C17" s="17"/>
      <c r="D17" s="17"/>
      <c r="E17" s="17"/>
      <c r="F17" s="17"/>
      <c r="G17" s="678"/>
      <c r="H17" s="678"/>
      <c r="I17" s="696"/>
      <c r="J17" s="679"/>
      <c r="K17" s="680"/>
      <c r="L17" s="680"/>
      <c r="R17" s="34"/>
      <c r="S17" s="35"/>
      <c r="T17" s="35"/>
      <c r="U17" s="35"/>
      <c r="V17" s="35"/>
      <c r="W17" s="35"/>
      <c r="AF17" s="34"/>
      <c r="AG17" s="35"/>
      <c r="AH17" s="35"/>
      <c r="AI17" s="35"/>
      <c r="AJ17" s="35"/>
      <c r="AK17" s="35"/>
    </row>
    <row r="18" spans="1:37" ht="21">
      <c r="A18" s="631" t="str">
        <f>CONCATENATE("Outlet Selection For ",A3)</f>
        <v>Outlet Selection For Product 2</v>
      </c>
      <c r="B18" s="631"/>
      <c r="C18" s="631"/>
      <c r="D18" s="631"/>
      <c r="E18" s="631"/>
      <c r="F18" s="631"/>
      <c r="G18" s="631"/>
      <c r="H18" s="631"/>
      <c r="I18" s="13"/>
      <c r="J18" s="10"/>
      <c r="P18" s="34"/>
      <c r="Q18" s="35"/>
      <c r="R18" s="35"/>
      <c r="S18" s="35"/>
      <c r="T18" s="35"/>
      <c r="U18" s="35"/>
      <c r="AD18" s="34"/>
      <c r="AE18" s="35"/>
      <c r="AF18" s="35"/>
      <c r="AG18" s="35"/>
      <c r="AH18" s="35"/>
      <c r="AI18" s="35"/>
    </row>
    <row r="19" spans="1:37">
      <c r="A19" s="668" t="s">
        <v>3473</v>
      </c>
      <c r="B19" s="668"/>
      <c r="C19" s="668"/>
      <c r="D19" s="668"/>
      <c r="E19" s="668"/>
      <c r="F19" s="639" t="e">
        <f>VLOOKUP(TRUE,AdministrationPage!A40:F59,2,0)</f>
        <v>#N/A</v>
      </c>
      <c r="G19" s="639"/>
      <c r="H19" s="639"/>
      <c r="I19" s="13"/>
      <c r="J19" s="10"/>
      <c r="P19" s="34"/>
      <c r="Q19" s="35"/>
      <c r="R19" s="35"/>
      <c r="S19" s="35"/>
      <c r="T19" s="35"/>
      <c r="U19" s="35"/>
      <c r="AD19" s="34"/>
      <c r="AE19" s="35"/>
      <c r="AF19" s="35"/>
      <c r="AG19" s="35"/>
      <c r="AH19" s="35"/>
      <c r="AI19" s="35"/>
    </row>
    <row r="20" spans="1:37" ht="30" customHeight="1">
      <c r="A20" s="651" t="s">
        <v>104</v>
      </c>
      <c r="B20" s="651"/>
      <c r="C20" s="92" t="s">
        <v>105</v>
      </c>
      <c r="D20" s="651" t="s">
        <v>106</v>
      </c>
      <c r="E20" s="651"/>
      <c r="F20" s="651" t="s">
        <v>47</v>
      </c>
      <c r="G20" s="651"/>
      <c r="H20" s="651"/>
      <c r="I20" s="13"/>
      <c r="J20" s="13"/>
      <c r="K20" s="13"/>
      <c r="L20" s="10"/>
      <c r="R20" s="34"/>
      <c r="S20" s="35"/>
      <c r="T20" s="35"/>
      <c r="U20" s="35"/>
      <c r="V20" s="35"/>
      <c r="W20" s="35"/>
      <c r="AF20" s="34"/>
      <c r="AG20" s="35"/>
      <c r="AH20" s="35"/>
      <c r="AI20" s="35"/>
      <c r="AJ20" s="35"/>
      <c r="AK20" s="35"/>
    </row>
    <row r="21" spans="1:37">
      <c r="A21" s="650"/>
      <c r="B21" s="650"/>
      <c r="C21" s="144"/>
      <c r="D21" s="650"/>
      <c r="E21" s="650"/>
      <c r="F21" s="650"/>
      <c r="G21" s="650"/>
      <c r="H21" s="650"/>
      <c r="I21" s="13"/>
      <c r="J21" s="13"/>
      <c r="K21" s="13"/>
      <c r="L21" s="10"/>
      <c r="R21" s="34"/>
      <c r="S21" s="35"/>
      <c r="T21" s="35"/>
      <c r="U21" s="35"/>
      <c r="V21" s="35"/>
      <c r="W21" s="35"/>
      <c r="AF21" s="34"/>
      <c r="AG21" s="35"/>
      <c r="AH21" s="35"/>
      <c r="AI21" s="35"/>
      <c r="AJ21" s="35"/>
      <c r="AK21" s="35"/>
    </row>
    <row r="22" spans="1:37" ht="90.75" customHeight="1">
      <c r="A22" s="683" t="s">
        <v>111</v>
      </c>
      <c r="B22" s="683"/>
      <c r="C22" s="91" t="s">
        <v>9</v>
      </c>
      <c r="D22" s="659" t="s">
        <v>100</v>
      </c>
      <c r="E22" s="659"/>
      <c r="F22" s="659" t="s">
        <v>107</v>
      </c>
      <c r="G22" s="659"/>
      <c r="H22" s="659"/>
      <c r="I22" s="13"/>
      <c r="J22" s="13"/>
      <c r="K22" s="13"/>
      <c r="L22" s="10"/>
      <c r="R22" s="34"/>
      <c r="S22" s="35"/>
      <c r="T22" s="35"/>
      <c r="U22" s="35"/>
      <c r="V22" s="35"/>
      <c r="W22" s="35"/>
      <c r="AF22" s="34"/>
      <c r="AG22" s="35"/>
      <c r="AH22" s="35"/>
      <c r="AI22" s="35"/>
      <c r="AJ22" s="35"/>
      <c r="AK22" s="35"/>
    </row>
    <row r="23" spans="1:37" hidden="1">
      <c r="A23" s="14"/>
      <c r="B23" s="69" t="str">
        <f>CONCATENATE(A21,C21)</f>
        <v/>
      </c>
      <c r="C23" s="14"/>
      <c r="D23" s="14"/>
      <c r="E23" s="15"/>
      <c r="F23" s="14"/>
      <c r="G23" s="16"/>
      <c r="H23" s="16"/>
      <c r="I23" s="13"/>
      <c r="J23" s="10"/>
      <c r="P23" s="34"/>
      <c r="Q23" s="35"/>
      <c r="R23" s="35"/>
      <c r="S23" s="35"/>
      <c r="T23" s="35"/>
      <c r="U23" s="35"/>
      <c r="AD23" s="34"/>
      <c r="AE23" s="35"/>
      <c r="AF23" s="35"/>
      <c r="AG23" s="35"/>
      <c r="AH23" s="35"/>
      <c r="AI23" s="35"/>
    </row>
    <row r="24" spans="1:37">
      <c r="A24" s="14"/>
      <c r="B24" s="69"/>
      <c r="C24" s="14"/>
      <c r="D24" s="14"/>
      <c r="E24" s="15"/>
      <c r="F24" s="14"/>
      <c r="G24" s="16"/>
      <c r="H24" s="16"/>
      <c r="I24" s="13"/>
      <c r="J24" s="10"/>
      <c r="P24" s="34"/>
      <c r="Q24" s="35"/>
      <c r="R24" s="35"/>
      <c r="S24" s="35"/>
      <c r="T24" s="35"/>
      <c r="U24" s="35"/>
      <c r="AD24" s="34"/>
      <c r="AE24" s="35"/>
      <c r="AF24" s="35"/>
      <c r="AG24" s="35"/>
      <c r="AH24" s="35"/>
      <c r="AI24" s="35"/>
    </row>
    <row r="25" spans="1:37" ht="21">
      <c r="A25" s="631" t="str">
        <f>CONCATENATE("Inlet Selection For ",A3)</f>
        <v>Inlet Selection For Product 2</v>
      </c>
      <c r="B25" s="631"/>
      <c r="C25" s="631"/>
      <c r="D25" s="631"/>
      <c r="E25" s="631"/>
      <c r="F25" s="631"/>
      <c r="G25" s="631"/>
      <c r="H25" s="631"/>
      <c r="L25" s="34"/>
      <c r="M25" s="35"/>
      <c r="N25" s="35"/>
      <c r="O25" s="35"/>
      <c r="P25" s="35"/>
      <c r="Q25" s="35"/>
      <c r="Z25" s="34"/>
      <c r="AA25" s="35"/>
      <c r="AB25" s="35"/>
      <c r="AC25" s="35"/>
      <c r="AD25" s="35"/>
      <c r="AE25" s="35"/>
    </row>
    <row r="26" spans="1:37">
      <c r="A26" s="668" t="s">
        <v>3472</v>
      </c>
      <c r="B26" s="668"/>
      <c r="C26" s="668"/>
      <c r="D26" s="668"/>
      <c r="E26" s="668"/>
      <c r="F26" s="639" t="e">
        <f>VLOOKUP(TRUE,AdministrationPage!I40:M58,2,0)</f>
        <v>#N/A</v>
      </c>
      <c r="G26" s="639"/>
      <c r="H26" s="639"/>
      <c r="I26" s="13"/>
      <c r="J26" s="10"/>
      <c r="P26" s="34"/>
      <c r="Q26" s="35"/>
      <c r="R26" s="35"/>
      <c r="S26" s="35"/>
      <c r="T26" s="35"/>
      <c r="U26" s="35"/>
      <c r="AD26" s="34"/>
      <c r="AE26" s="35"/>
      <c r="AF26" s="35"/>
      <c r="AG26" s="35"/>
      <c r="AH26" s="35"/>
      <c r="AI26" s="35"/>
    </row>
    <row r="27" spans="1:37" ht="75" customHeight="1">
      <c r="A27" s="651" t="s">
        <v>82</v>
      </c>
      <c r="B27" s="651"/>
      <c r="C27" s="92" t="s">
        <v>46</v>
      </c>
      <c r="D27" s="651" t="s">
        <v>83</v>
      </c>
      <c r="E27" s="651"/>
      <c r="F27" s="651" t="s">
        <v>11</v>
      </c>
      <c r="G27" s="651"/>
      <c r="H27" s="651"/>
      <c r="I27" s="13"/>
      <c r="J27" s="10"/>
      <c r="P27" s="34"/>
      <c r="Q27" s="35"/>
      <c r="R27" s="35"/>
      <c r="S27" s="35"/>
      <c r="T27" s="35"/>
      <c r="U27" s="35"/>
      <c r="AD27" s="34"/>
      <c r="AE27" s="35"/>
      <c r="AF27" s="35"/>
      <c r="AG27" s="35"/>
      <c r="AH27" s="35"/>
      <c r="AI27" s="35"/>
    </row>
    <row r="28" spans="1:37">
      <c r="A28" s="650"/>
      <c r="B28" s="650"/>
      <c r="C28" s="144"/>
      <c r="D28" s="650"/>
      <c r="E28" s="650"/>
      <c r="F28" s="650"/>
      <c r="G28" s="650"/>
      <c r="H28" s="650"/>
      <c r="I28" s="13"/>
      <c r="J28" s="10"/>
      <c r="P28" s="34"/>
      <c r="Q28" s="35"/>
      <c r="R28" s="35"/>
      <c r="S28" s="35"/>
      <c r="T28" s="35"/>
      <c r="U28" s="35"/>
      <c r="AD28" s="34"/>
      <c r="AE28" s="35"/>
      <c r="AF28" s="35"/>
      <c r="AG28" s="35"/>
      <c r="AH28" s="35"/>
      <c r="AI28" s="35"/>
    </row>
    <row r="29" spans="1:37" ht="99" customHeight="1">
      <c r="A29" s="659" t="s">
        <v>102</v>
      </c>
      <c r="B29" s="659"/>
      <c r="C29" s="91" t="s">
        <v>108</v>
      </c>
      <c r="D29" s="659" t="s">
        <v>100</v>
      </c>
      <c r="E29" s="659"/>
      <c r="F29" s="659" t="s">
        <v>12</v>
      </c>
      <c r="G29" s="659"/>
      <c r="H29" s="659"/>
      <c r="I29" s="13"/>
      <c r="J29" s="10"/>
      <c r="P29" s="34"/>
      <c r="Q29" s="35"/>
      <c r="R29" s="35"/>
      <c r="S29" s="35"/>
      <c r="T29" s="35"/>
      <c r="U29" s="35"/>
      <c r="AD29" s="34"/>
      <c r="AE29" s="35"/>
      <c r="AF29" s="35"/>
      <c r="AG29" s="35"/>
      <c r="AH29" s="35"/>
      <c r="AI29" s="35"/>
    </row>
    <row r="30" spans="1:37" hidden="1">
      <c r="A30" s="70"/>
      <c r="B30" s="69" t="str">
        <f>CONCATENATE(A28,C28)</f>
        <v/>
      </c>
      <c r="C30" s="71"/>
      <c r="D30" s="70"/>
      <c r="E30" s="70"/>
      <c r="F30" s="70"/>
      <c r="G30" s="70"/>
      <c r="H30" s="70"/>
      <c r="I30" s="13"/>
      <c r="J30" s="10"/>
      <c r="P30" s="34"/>
      <c r="Q30" s="35"/>
      <c r="R30" s="35"/>
      <c r="S30" s="35"/>
      <c r="T30" s="35"/>
      <c r="U30" s="35"/>
      <c r="AD30" s="34"/>
      <c r="AE30" s="35"/>
      <c r="AF30" s="35"/>
      <c r="AG30" s="35"/>
      <c r="AH30" s="35"/>
      <c r="AI30" s="35"/>
    </row>
    <row r="31" spans="1:37">
      <c r="A31" s="70"/>
      <c r="B31" s="70"/>
      <c r="C31" s="71"/>
      <c r="D31" s="70"/>
      <c r="E31" s="70"/>
      <c r="F31" s="70"/>
      <c r="G31" s="70"/>
      <c r="H31" s="70"/>
      <c r="I31" s="13"/>
      <c r="J31" s="10"/>
      <c r="P31" s="34"/>
      <c r="Q31" s="35"/>
      <c r="R31" s="35"/>
      <c r="S31" s="35"/>
      <c r="T31" s="35"/>
      <c r="U31" s="35"/>
      <c r="AD31" s="34"/>
      <c r="AE31" s="35"/>
      <c r="AF31" s="35"/>
      <c r="AG31" s="35"/>
      <c r="AH31" s="35"/>
      <c r="AI31" s="35"/>
    </row>
    <row r="32" spans="1:37" ht="21">
      <c r="A32" s="631" t="str">
        <f>CONCATENATE("[OPTIONAL] Alternate Flow Rate for ",A3)</f>
        <v>[OPTIONAL] Alternate Flow Rate for Product 2</v>
      </c>
      <c r="B32" s="631"/>
      <c r="C32" s="631"/>
      <c r="D32" s="631"/>
      <c r="E32" s="631"/>
      <c r="F32" s="631"/>
      <c r="G32" s="631"/>
      <c r="H32" s="631"/>
      <c r="L32" s="34"/>
      <c r="M32" s="35"/>
      <c r="N32" s="35"/>
      <c r="O32" s="35"/>
      <c r="P32" s="35"/>
      <c r="Q32" s="35"/>
      <c r="Z32" s="34"/>
      <c r="AA32" s="35"/>
      <c r="AB32" s="35"/>
      <c r="AC32" s="35"/>
      <c r="AD32" s="35"/>
      <c r="AE32" s="35"/>
    </row>
    <row r="33" spans="1:37">
      <c r="A33" s="651" t="s">
        <v>45</v>
      </c>
      <c r="B33" s="651"/>
      <c r="C33" s="651"/>
      <c r="D33" s="651"/>
      <c r="E33" s="651"/>
      <c r="F33" s="651"/>
      <c r="G33" s="15"/>
      <c r="H33" s="14"/>
      <c r="I33" s="13"/>
      <c r="J33" s="13"/>
      <c r="K33" s="13"/>
      <c r="L33" s="10"/>
      <c r="R33" s="34"/>
      <c r="S33" s="35"/>
      <c r="T33" s="35"/>
      <c r="U33" s="35"/>
      <c r="V33" s="35"/>
      <c r="W33" s="35"/>
      <c r="AF33" s="34"/>
      <c r="AG33" s="35"/>
      <c r="AH33" s="35"/>
      <c r="AI33" s="35"/>
      <c r="AJ33" s="35"/>
      <c r="AK33" s="35"/>
    </row>
    <row r="34" spans="1:37">
      <c r="A34" s="144"/>
      <c r="B34" s="144"/>
      <c r="C34" s="144"/>
      <c r="D34" s="144"/>
      <c r="E34" s="144"/>
      <c r="F34" s="144"/>
      <c r="G34" s="15"/>
      <c r="H34" s="14"/>
      <c r="I34" s="13"/>
      <c r="J34" s="13"/>
      <c r="K34" s="13"/>
      <c r="L34" s="10"/>
      <c r="R34" s="34"/>
      <c r="S34" s="35"/>
      <c r="T34" s="35"/>
      <c r="U34" s="35"/>
      <c r="V34" s="35"/>
      <c r="W34" s="35"/>
      <c r="AF34" s="34"/>
      <c r="AG34" s="35"/>
      <c r="AH34" s="35"/>
      <c r="AI34" s="35"/>
      <c r="AJ34" s="35"/>
      <c r="AK34" s="35"/>
    </row>
    <row r="35" spans="1:37" ht="30">
      <c r="A35" s="90" t="s">
        <v>3</v>
      </c>
      <c r="B35" s="90" t="s">
        <v>3479</v>
      </c>
      <c r="C35" s="90" t="s">
        <v>32</v>
      </c>
      <c r="D35" s="90" t="s">
        <v>4</v>
      </c>
      <c r="E35" s="90" t="s">
        <v>3478</v>
      </c>
      <c r="F35" s="90" t="s">
        <v>33</v>
      </c>
      <c r="G35" s="15"/>
      <c r="H35" s="14"/>
      <c r="I35" s="13"/>
      <c r="J35" s="13"/>
      <c r="K35" s="13"/>
      <c r="L35" s="10"/>
      <c r="R35" s="34"/>
      <c r="S35" s="35"/>
      <c r="T35" s="35"/>
      <c r="U35" s="35"/>
      <c r="V35" s="35"/>
      <c r="W35" s="35"/>
      <c r="AF35" s="34"/>
      <c r="AG35" s="35"/>
      <c r="AH35" s="35"/>
      <c r="AI35" s="35"/>
      <c r="AJ35" s="35"/>
      <c r="AK35" s="35"/>
    </row>
    <row r="36" spans="1:37" hidden="1">
      <c r="A36" s="72">
        <f>A34*D7</f>
        <v>0</v>
      </c>
      <c r="B36" s="62" t="s">
        <v>109</v>
      </c>
      <c r="C36" s="73">
        <f>((B34*C34*H5)/5940)*D7</f>
        <v>0</v>
      </c>
      <c r="D36" s="72">
        <f>D34*D7</f>
        <v>0</v>
      </c>
      <c r="E36" s="62" t="s">
        <v>109</v>
      </c>
      <c r="F36" s="74">
        <f>(((G5/100)*E34*F34)/600)*D7</f>
        <v>0</v>
      </c>
      <c r="G36" s="15"/>
      <c r="H36" s="14"/>
      <c r="I36" s="13"/>
      <c r="J36" s="13"/>
      <c r="K36" s="13"/>
      <c r="L36" s="10"/>
      <c r="R36" s="34"/>
      <c r="S36" s="35"/>
      <c r="T36" s="35"/>
      <c r="U36" s="35"/>
      <c r="V36" s="35"/>
      <c r="W36" s="35"/>
      <c r="AF36" s="34"/>
      <c r="AG36" s="35"/>
      <c r="AH36" s="35"/>
      <c r="AI36" s="35"/>
      <c r="AJ36" s="35"/>
      <c r="AK36" s="35"/>
    </row>
    <row r="37" spans="1:37" hidden="1">
      <c r="A37" s="665">
        <f>MAX(A36,C36)</f>
        <v>0</v>
      </c>
      <c r="B37" s="665"/>
      <c r="C37" s="665"/>
      <c r="D37" s="666">
        <f>MAX(D36,F36)</f>
        <v>0</v>
      </c>
      <c r="E37" s="666"/>
      <c r="F37" s="666"/>
      <c r="G37" s="15"/>
      <c r="H37" s="14"/>
      <c r="I37" s="13"/>
      <c r="J37" s="13"/>
      <c r="K37" s="13"/>
      <c r="L37" s="10"/>
      <c r="R37" s="34"/>
      <c r="S37" s="35"/>
      <c r="T37" s="35"/>
      <c r="U37" s="35"/>
      <c r="V37" s="35"/>
      <c r="W37" s="35"/>
      <c r="AF37" s="34"/>
      <c r="AG37" s="35"/>
      <c r="AH37" s="35"/>
      <c r="AI37" s="35"/>
      <c r="AJ37" s="35"/>
      <c r="AK37" s="35"/>
    </row>
    <row r="38" spans="1:37">
      <c r="A38" s="665">
        <f>MAX(A37,(D37/3.7851))</f>
        <v>0</v>
      </c>
      <c r="B38" s="639"/>
      <c r="C38" s="639"/>
      <c r="D38" s="639"/>
      <c r="E38" s="639"/>
      <c r="F38" s="639"/>
      <c r="G38" s="15"/>
      <c r="H38" s="14"/>
      <c r="I38" s="13"/>
      <c r="J38" s="13"/>
      <c r="K38" s="13"/>
      <c r="L38" s="10"/>
      <c r="R38" s="34"/>
      <c r="S38" s="35"/>
      <c r="T38" s="35"/>
      <c r="U38" s="35"/>
      <c r="V38" s="35"/>
      <c r="W38" s="35"/>
      <c r="AF38" s="34"/>
      <c r="AG38" s="35"/>
      <c r="AH38" s="35"/>
      <c r="AI38" s="35"/>
      <c r="AJ38" s="35"/>
      <c r="AK38" s="35"/>
    </row>
    <row r="39" spans="1:37">
      <c r="A39" s="15"/>
      <c r="B39" s="14"/>
      <c r="C39" s="16"/>
      <c r="D39" s="16"/>
      <c r="E39" s="16"/>
      <c r="F39" s="15"/>
      <c r="G39" s="14"/>
      <c r="H39" s="14"/>
      <c r="L39" s="34"/>
      <c r="M39" s="35"/>
      <c r="N39" s="35"/>
      <c r="O39" s="35"/>
      <c r="P39" s="35"/>
      <c r="Q39" s="35"/>
      <c r="Z39" s="34"/>
      <c r="AA39" s="35"/>
      <c r="AB39" s="35"/>
      <c r="AC39" s="35"/>
      <c r="AD39" s="35"/>
      <c r="AE39" s="35"/>
    </row>
    <row r="40" spans="1:37" s="9" customFormat="1" ht="31.5">
      <c r="A40" s="657" t="str">
        <f>CONCATENATE("Implement Layout of Sections for ", A3)</f>
        <v>Implement Layout of Sections for Product 2</v>
      </c>
      <c r="B40" s="657"/>
      <c r="C40" s="657"/>
      <c r="D40" s="657"/>
      <c r="E40" s="657"/>
      <c r="F40" s="657"/>
      <c r="G40" s="657"/>
      <c r="H40" s="657"/>
    </row>
    <row r="41" spans="1:37" s="9" customFormat="1" ht="21">
      <c r="A41" s="126" t="s">
        <v>3476</v>
      </c>
      <c r="B41" s="125"/>
      <c r="C41" s="125"/>
      <c r="D41" s="125"/>
      <c r="E41" s="125"/>
      <c r="F41" s="125"/>
      <c r="G41" s="127"/>
      <c r="H41" s="128"/>
    </row>
    <row r="42" spans="1:37" s="9" customFormat="1" ht="15" customHeight="1">
      <c r="A42" s="652" t="s">
        <v>129</v>
      </c>
      <c r="B42" s="652"/>
      <c r="C42" s="652" t="s">
        <v>28</v>
      </c>
      <c r="D42" s="652" t="s">
        <v>128</v>
      </c>
      <c r="E42" s="652" t="s">
        <v>121</v>
      </c>
      <c r="F42" s="658" t="s">
        <v>3465</v>
      </c>
      <c r="G42" s="658" t="s">
        <v>3466</v>
      </c>
      <c r="H42" s="658"/>
    </row>
    <row r="43" spans="1:37" s="9" customFormat="1">
      <c r="A43" s="651" t="str">
        <f>A3</f>
        <v>Product 2</v>
      </c>
      <c r="B43" s="651"/>
      <c r="C43" s="653"/>
      <c r="D43" s="652"/>
      <c r="E43" s="652"/>
      <c r="F43" s="658"/>
      <c r="G43" s="658"/>
      <c r="H43" s="658"/>
    </row>
    <row r="44" spans="1:37" s="9" customFormat="1" ht="15" customHeight="1">
      <c r="A44" s="649" t="s">
        <v>14</v>
      </c>
      <c r="B44" s="649"/>
      <c r="C44" s="78" t="s">
        <v>127</v>
      </c>
      <c r="D44" s="652"/>
      <c r="E44" s="652"/>
      <c r="F44" s="658"/>
      <c r="G44" s="658"/>
      <c r="H44" s="658"/>
    </row>
    <row r="45" spans="1:37" ht="15.75">
      <c r="A45" s="80" t="s">
        <v>15</v>
      </c>
      <c r="B45" s="39"/>
      <c r="C45" s="78">
        <f t="shared" ref="C45:C57" si="0">B45/16</f>
        <v>0</v>
      </c>
      <c r="D45" s="78">
        <f t="shared" ref="D45:D57" si="1">C45/0.25</f>
        <v>0</v>
      </c>
      <c r="E45" s="78">
        <f t="shared" ref="E45:E57" si="2">_xlfn.CEILING.MATH(C45,0.25)</f>
        <v>0</v>
      </c>
      <c r="F45" s="79" t="str">
        <f t="shared" ref="F45:F57" si="3">IF(4-(4*(D45-TRUNC(D45,0)))=4,"",4-(4*(D45-TRUNC(D45,0))))</f>
        <v/>
      </c>
      <c r="G45" s="63" t="str">
        <f>IF(4-(4*(D45-TRUNC(D45,0)))=4,"",4-(4*(D45-TRUNC(D45,0))))</f>
        <v/>
      </c>
      <c r="H45" s="63"/>
      <c r="Y45" s="11"/>
      <c r="Z45" s="11"/>
    </row>
    <row r="46" spans="1:37" ht="15.75">
      <c r="A46" s="80" t="s">
        <v>16</v>
      </c>
      <c r="B46" s="39"/>
      <c r="C46" s="78">
        <f t="shared" si="0"/>
        <v>0</v>
      </c>
      <c r="D46" s="78">
        <f t="shared" si="1"/>
        <v>0</v>
      </c>
      <c r="E46" s="78">
        <f t="shared" si="2"/>
        <v>0</v>
      </c>
      <c r="F46" s="79" t="str">
        <f t="shared" si="3"/>
        <v/>
      </c>
      <c r="G46" s="63" t="str">
        <f t="shared" ref="G46:G57" si="4">IF(4-(4*(D46-TRUNC(D46,0)))=4,"",4-(4*(D46-TRUNC(D46,0))))</f>
        <v/>
      </c>
      <c r="H46" s="63"/>
      <c r="Y46" s="11"/>
      <c r="Z46" s="11"/>
    </row>
    <row r="47" spans="1:37" ht="15.75">
      <c r="A47" s="80" t="s">
        <v>17</v>
      </c>
      <c r="B47" s="39"/>
      <c r="C47" s="78">
        <f t="shared" si="0"/>
        <v>0</v>
      </c>
      <c r="D47" s="78">
        <f t="shared" si="1"/>
        <v>0</v>
      </c>
      <c r="E47" s="78">
        <f t="shared" si="2"/>
        <v>0</v>
      </c>
      <c r="F47" s="79" t="str">
        <f t="shared" si="3"/>
        <v/>
      </c>
      <c r="G47" s="63" t="str">
        <f t="shared" si="4"/>
        <v/>
      </c>
      <c r="H47" s="63"/>
      <c r="Y47" s="11"/>
      <c r="Z47" s="11"/>
    </row>
    <row r="48" spans="1:37" ht="15.75">
      <c r="A48" s="80" t="s">
        <v>18</v>
      </c>
      <c r="B48" s="39"/>
      <c r="C48" s="78">
        <f t="shared" si="0"/>
        <v>0</v>
      </c>
      <c r="D48" s="78">
        <f t="shared" si="1"/>
        <v>0</v>
      </c>
      <c r="E48" s="78">
        <f t="shared" si="2"/>
        <v>0</v>
      </c>
      <c r="F48" s="79" t="str">
        <f t="shared" si="3"/>
        <v/>
      </c>
      <c r="G48" s="63" t="str">
        <f t="shared" si="4"/>
        <v/>
      </c>
      <c r="H48" s="63"/>
      <c r="Y48" s="11"/>
      <c r="Z48" s="11"/>
    </row>
    <row r="49" spans="1:26" ht="15.75">
      <c r="A49" s="80" t="s">
        <v>19</v>
      </c>
      <c r="B49" s="39"/>
      <c r="C49" s="78">
        <f t="shared" si="0"/>
        <v>0</v>
      </c>
      <c r="D49" s="78">
        <f t="shared" si="1"/>
        <v>0</v>
      </c>
      <c r="E49" s="78">
        <f t="shared" si="2"/>
        <v>0</v>
      </c>
      <c r="F49" s="79" t="str">
        <f t="shared" si="3"/>
        <v/>
      </c>
      <c r="G49" s="63" t="str">
        <f t="shared" si="4"/>
        <v/>
      </c>
      <c r="H49" s="63"/>
      <c r="Y49" s="11"/>
      <c r="Z49" s="11"/>
    </row>
    <row r="50" spans="1:26" ht="15.75">
      <c r="A50" s="80" t="s">
        <v>20</v>
      </c>
      <c r="B50" s="39"/>
      <c r="C50" s="78">
        <f t="shared" si="0"/>
        <v>0</v>
      </c>
      <c r="D50" s="78">
        <f t="shared" si="1"/>
        <v>0</v>
      </c>
      <c r="E50" s="78">
        <f t="shared" si="2"/>
        <v>0</v>
      </c>
      <c r="F50" s="79" t="str">
        <f t="shared" si="3"/>
        <v/>
      </c>
      <c r="G50" s="63" t="str">
        <f t="shared" si="4"/>
        <v/>
      </c>
      <c r="H50" s="63"/>
      <c r="Y50" s="11"/>
      <c r="Z50" s="11"/>
    </row>
    <row r="51" spans="1:26" ht="15.75">
      <c r="A51" s="80" t="s">
        <v>21</v>
      </c>
      <c r="B51" s="39"/>
      <c r="C51" s="78">
        <f t="shared" si="0"/>
        <v>0</v>
      </c>
      <c r="D51" s="78">
        <f t="shared" si="1"/>
        <v>0</v>
      </c>
      <c r="E51" s="78">
        <f t="shared" si="2"/>
        <v>0</v>
      </c>
      <c r="F51" s="79" t="str">
        <f t="shared" si="3"/>
        <v/>
      </c>
      <c r="G51" s="63" t="str">
        <f t="shared" si="4"/>
        <v/>
      </c>
      <c r="H51" s="63"/>
      <c r="Y51" s="11"/>
      <c r="Z51" s="11"/>
    </row>
    <row r="52" spans="1:26" ht="15.75">
      <c r="A52" s="80" t="s">
        <v>22</v>
      </c>
      <c r="B52" s="39"/>
      <c r="C52" s="78">
        <f t="shared" si="0"/>
        <v>0</v>
      </c>
      <c r="D52" s="78">
        <f t="shared" si="1"/>
        <v>0</v>
      </c>
      <c r="E52" s="78">
        <f t="shared" si="2"/>
        <v>0</v>
      </c>
      <c r="F52" s="79" t="str">
        <f t="shared" si="3"/>
        <v/>
      </c>
      <c r="G52" s="63" t="str">
        <f t="shared" si="4"/>
        <v/>
      </c>
      <c r="H52" s="63"/>
      <c r="Y52" s="11"/>
      <c r="Z52" s="11"/>
    </row>
    <row r="53" spans="1:26" ht="15.75">
      <c r="A53" s="80" t="s">
        <v>23</v>
      </c>
      <c r="B53" s="39"/>
      <c r="C53" s="78">
        <f t="shared" si="0"/>
        <v>0</v>
      </c>
      <c r="D53" s="78">
        <f t="shared" si="1"/>
        <v>0</v>
      </c>
      <c r="E53" s="78">
        <f t="shared" si="2"/>
        <v>0</v>
      </c>
      <c r="F53" s="79" t="str">
        <f t="shared" si="3"/>
        <v/>
      </c>
      <c r="G53" s="63" t="str">
        <f t="shared" si="4"/>
        <v/>
      </c>
      <c r="H53" s="63"/>
      <c r="Y53" s="11"/>
      <c r="Z53" s="11"/>
    </row>
    <row r="54" spans="1:26" ht="15.75">
      <c r="A54" s="80" t="s">
        <v>24</v>
      </c>
      <c r="B54" s="39"/>
      <c r="C54" s="78">
        <f t="shared" si="0"/>
        <v>0</v>
      </c>
      <c r="D54" s="78">
        <f t="shared" si="1"/>
        <v>0</v>
      </c>
      <c r="E54" s="78">
        <f t="shared" si="2"/>
        <v>0</v>
      </c>
      <c r="F54" s="79" t="str">
        <f t="shared" si="3"/>
        <v/>
      </c>
      <c r="G54" s="63" t="str">
        <f t="shared" si="4"/>
        <v/>
      </c>
      <c r="H54" s="63"/>
      <c r="Y54" s="11"/>
      <c r="Z54" s="11"/>
    </row>
    <row r="55" spans="1:26" ht="15.75">
      <c r="A55" s="80" t="s">
        <v>25</v>
      </c>
      <c r="B55" s="39"/>
      <c r="C55" s="78">
        <f t="shared" si="0"/>
        <v>0</v>
      </c>
      <c r="D55" s="78">
        <f t="shared" si="1"/>
        <v>0</v>
      </c>
      <c r="E55" s="78">
        <f t="shared" si="2"/>
        <v>0</v>
      </c>
      <c r="F55" s="79" t="str">
        <f t="shared" si="3"/>
        <v/>
      </c>
      <c r="G55" s="63" t="str">
        <f t="shared" si="4"/>
        <v/>
      </c>
      <c r="H55" s="63"/>
      <c r="Y55" s="11"/>
      <c r="Z55" s="11"/>
    </row>
    <row r="56" spans="1:26" ht="15.75">
      <c r="A56" s="80" t="s">
        <v>26</v>
      </c>
      <c r="B56" s="39"/>
      <c r="C56" s="78">
        <f t="shared" si="0"/>
        <v>0</v>
      </c>
      <c r="D56" s="78">
        <f t="shared" si="1"/>
        <v>0</v>
      </c>
      <c r="E56" s="78">
        <f t="shared" si="2"/>
        <v>0</v>
      </c>
      <c r="F56" s="79" t="str">
        <f t="shared" si="3"/>
        <v/>
      </c>
      <c r="G56" s="63" t="str">
        <f t="shared" si="4"/>
        <v/>
      </c>
      <c r="H56" s="63"/>
      <c r="Y56" s="11"/>
      <c r="Z56" s="11"/>
    </row>
    <row r="57" spans="1:26" ht="15.75">
      <c r="A57" s="80" t="s">
        <v>27</v>
      </c>
      <c r="B57" s="39"/>
      <c r="C57" s="78">
        <f t="shared" si="0"/>
        <v>0</v>
      </c>
      <c r="D57" s="78">
        <f t="shared" si="1"/>
        <v>0</v>
      </c>
      <c r="E57" s="78">
        <f t="shared" si="2"/>
        <v>0</v>
      </c>
      <c r="F57" s="79" t="str">
        <f t="shared" si="3"/>
        <v/>
      </c>
      <c r="G57" s="63" t="str">
        <f t="shared" si="4"/>
        <v/>
      </c>
      <c r="H57" s="63"/>
      <c r="Y57" s="11"/>
      <c r="Z57" s="11"/>
    </row>
    <row r="58" spans="1:26" ht="31.5">
      <c r="A58" s="80" t="s">
        <v>3467</v>
      </c>
      <c r="B58" s="75">
        <f>SUM(B45:B57)</f>
        <v>0</v>
      </c>
      <c r="C58" s="78">
        <f>ROUNDUP(SUM(C45:C57),0)</f>
        <v>0</v>
      </c>
      <c r="D58" s="78">
        <f>ROUNDUP(SUM(D45:D57),0)</f>
        <v>0</v>
      </c>
      <c r="E58" s="78">
        <f>ROUNDUP(SUM(E45:E57),0)</f>
        <v>0</v>
      </c>
      <c r="F58" s="79">
        <f>SUM(F45:F57)</f>
        <v>0</v>
      </c>
      <c r="G58" s="63">
        <f>SUM(G45:G57)</f>
        <v>0</v>
      </c>
      <c r="H58" s="63"/>
      <c r="Y58" s="11"/>
    </row>
    <row r="59" spans="1:26">
      <c r="A59" s="654" t="s">
        <v>3474</v>
      </c>
      <c r="B59" s="655"/>
      <c r="C59" s="655"/>
      <c r="D59" s="655"/>
      <c r="E59" s="656"/>
      <c r="F59" s="15"/>
      <c r="G59" s="15"/>
      <c r="H59" s="15"/>
      <c r="Y59" s="11"/>
    </row>
    <row r="60" spans="1:26">
      <c r="A60" s="647" t="str">
        <f>IF((E5+B58)=0,"","Do product runs match section layout?")</f>
        <v/>
      </c>
      <c r="B60" s="648"/>
      <c r="C60" s="648"/>
      <c r="D60" s="648"/>
      <c r="E60" s="36" t="str">
        <f>IF((E5+B58)=0,"",E5=B58)</f>
        <v/>
      </c>
      <c r="F60" s="15"/>
      <c r="G60" s="15"/>
      <c r="H60" s="15"/>
    </row>
    <row r="61" spans="1:26">
      <c r="A61" s="647" t="str">
        <f>IF('Flow Indicator Parts List'!$C$70=0,"","Node Usage per system (if central electronics)")</f>
        <v/>
      </c>
      <c r="B61" s="648"/>
      <c r="C61" s="648"/>
      <c r="D61" s="648"/>
      <c r="E61" s="37" t="str">
        <f>IF('Flow Indicator Parts List'!$C$70=0,"",'Flow Indicator Parts List'!$C$70)</f>
        <v/>
      </c>
      <c r="F61" s="14"/>
      <c r="G61" s="14"/>
      <c r="H61" s="14"/>
    </row>
    <row r="62" spans="1:26">
      <c r="A62" s="647" t="str">
        <f>IF('Flow Indicator Parts List'!$C$72=0,"","Node Usage per section (if split sections)")</f>
        <v/>
      </c>
      <c r="B62" s="648"/>
      <c r="C62" s="648"/>
      <c r="D62" s="648"/>
      <c r="E62" s="37" t="str">
        <f>IF('Flow Indicator Parts List'!$C$72=0,"",'Flow Indicator Parts List'!$C$72)</f>
        <v/>
      </c>
      <c r="F62" s="14"/>
      <c r="G62" s="14"/>
      <c r="H62" s="14"/>
    </row>
    <row r="63" spans="1:26">
      <c r="A63" s="660" t="str">
        <f>IF('Flow Indicator Parts List'!$C$69=0,"","Estimate for Extension Harnesses (split sections)")</f>
        <v/>
      </c>
      <c r="B63" s="661"/>
      <c r="C63" s="661"/>
      <c r="D63" s="661"/>
      <c r="E63" s="38" t="str">
        <f>IF('Flow Indicator Parts List'!$C$69=0,"",ROUNDUP('Flow Indicator Parts List'!$C$69,0))</f>
        <v/>
      </c>
      <c r="F63" s="14"/>
      <c r="G63" s="14"/>
      <c r="H63" s="14"/>
    </row>
    <row r="64" spans="1:26">
      <c r="A64" s="14"/>
      <c r="B64" s="14"/>
      <c r="C64" s="14"/>
      <c r="D64" s="14"/>
      <c r="E64" s="14"/>
      <c r="F64" s="14"/>
      <c r="G64" s="14"/>
      <c r="H64" s="14"/>
    </row>
    <row r="65" spans="1:14">
      <c r="B65" s="14"/>
      <c r="C65" s="14"/>
      <c r="D65" s="14"/>
      <c r="E65" s="14"/>
      <c r="F65" s="14"/>
      <c r="G65" s="14"/>
      <c r="H65" s="14"/>
    </row>
    <row r="66" spans="1:14">
      <c r="A66" s="14"/>
      <c r="B66" s="14"/>
      <c r="C66" s="14"/>
      <c r="D66" s="14"/>
      <c r="E66" s="14"/>
      <c r="F66" s="14"/>
      <c r="G66" s="14"/>
      <c r="H66" s="14"/>
    </row>
    <row r="67" spans="1:14">
      <c r="A67" s="14"/>
      <c r="B67" s="14"/>
      <c r="C67" s="14"/>
      <c r="D67" s="14"/>
      <c r="E67" s="14"/>
      <c r="F67" s="14"/>
      <c r="G67" s="14"/>
      <c r="H67" s="14"/>
    </row>
    <row r="68" spans="1:14">
      <c r="A68" s="14"/>
      <c r="B68" s="14"/>
      <c r="C68" s="14"/>
      <c r="D68" s="14"/>
      <c r="E68" s="14"/>
      <c r="F68" s="14"/>
      <c r="G68" s="14"/>
      <c r="H68" s="14"/>
      <c r="I68" s="12"/>
      <c r="J68" s="12"/>
      <c r="K68" s="12"/>
    </row>
    <row r="69" spans="1:14" ht="21">
      <c r="A69" s="631" t="str">
        <f>CONCATENATE("Metering Orifice Selection for ",A3,"*")</f>
        <v>Metering Orifice Selection for Product 2*</v>
      </c>
      <c r="B69" s="631"/>
      <c r="C69" s="631"/>
      <c r="D69" s="631"/>
      <c r="E69" s="631"/>
      <c r="F69" s="631"/>
      <c r="G69" s="631"/>
      <c r="H69" s="631"/>
      <c r="I69" s="12"/>
      <c r="J69" s="12"/>
      <c r="K69" s="12"/>
      <c r="L69" s="12"/>
      <c r="M69" s="12"/>
      <c r="N69" s="12"/>
    </row>
    <row r="70" spans="1:14">
      <c r="A70" s="632" t="s">
        <v>3486</v>
      </c>
      <c r="B70" s="632"/>
      <c r="C70" s="633" t="s">
        <v>3487</v>
      </c>
      <c r="D70" s="634"/>
      <c r="E70" s="688" t="s">
        <v>3489</v>
      </c>
      <c r="F70" s="689"/>
      <c r="G70" s="690" t="str">
        <f>IF(A38=0,"","RATE 2")</f>
        <v/>
      </c>
      <c r="H70" s="691"/>
    </row>
    <row r="71" spans="1:14">
      <c r="A71" s="632"/>
      <c r="B71" s="632"/>
      <c r="C71" s="635"/>
      <c r="D71" s="636"/>
      <c r="E71" s="692">
        <f>A16</f>
        <v>0</v>
      </c>
      <c r="F71" s="693"/>
      <c r="G71" s="694" t="str">
        <f>IF(A38=0,"",A38)</f>
        <v/>
      </c>
      <c r="H71" s="695"/>
    </row>
    <row r="72" spans="1:14" ht="30">
      <c r="A72" s="632"/>
      <c r="B72" s="632"/>
      <c r="C72" s="637"/>
      <c r="D72" s="638"/>
      <c r="E72" s="134" t="s">
        <v>3490</v>
      </c>
      <c r="F72" s="135" t="s">
        <v>3491</v>
      </c>
      <c r="G72" s="136" t="str">
        <f>IF(A38=0,"","Pres. (PSI)")</f>
        <v/>
      </c>
      <c r="H72" s="137" t="str">
        <f>IF(A38=0,"","Pres. (BAR)")</f>
        <v/>
      </c>
    </row>
    <row r="73" spans="1:14" ht="15.75" thickBot="1">
      <c r="A73" s="628">
        <v>3.0000000000000001E-3</v>
      </c>
      <c r="B73" s="628"/>
      <c r="C73" s="686" t="s">
        <v>3493</v>
      </c>
      <c r="D73" s="687"/>
      <c r="E73" s="138" t="str">
        <f>IF(AND(((POWER($A$16,2)*POWER((1/$A73),2)*40)&gt;10),((POWER($A$16,2)*POWER((1/$A73),2)*40)&lt;80)),(POWER($A$16,2)*POWER((1/$A73),2)*40),"")</f>
        <v/>
      </c>
      <c r="F73" s="139" t="str">
        <f>IF(ISNUMBER(E73),E73*0.0689476,"")</f>
        <v/>
      </c>
      <c r="G73" s="140" t="str">
        <f>IF($A$38&lt;0.01,"",IF(AND(((POWER($A$38,2)*POWER((1/$A73),2)*40)&gt;10),((POWER($A$38,2)*POWER((1/$A73),2)*40)&lt;80)),(POWER($A$38,2)*POWER((1/$A73),2)*40),""))</f>
        <v/>
      </c>
      <c r="H73" s="141" t="str">
        <f>IF($A$38=0,"",IF(ISNUMBER(G73),G73*0.0689476,""))</f>
        <v/>
      </c>
    </row>
    <row r="74" spans="1:14" ht="15.75" thickBot="1">
      <c r="A74" s="629">
        <v>5.0000000000000001E-3</v>
      </c>
      <c r="B74" s="629"/>
      <c r="C74" s="685" t="s">
        <v>3494</v>
      </c>
      <c r="D74" s="610"/>
      <c r="E74" s="138" t="str">
        <f t="shared" ref="E74:E90" si="5">IF(AND(((POWER($A$16,2)*POWER((1/$A74),2)*40)&gt;10),((POWER($A$16,2)*POWER((1/$A74),2)*40)&lt;80)),(POWER($A$16,2)*POWER((1/$A74),2)*40),"")</f>
        <v/>
      </c>
      <c r="F74" s="139" t="str">
        <f t="shared" ref="F74:F90" si="6">IF(ISNUMBER(E74),E74*0.0689476,"")</f>
        <v/>
      </c>
      <c r="G74" s="140" t="str">
        <f>IF($A$38&lt;0.01,"",IF(AND(((POWER($A$38,2)*POWER((1/$A74),2)*40)&gt;10),((POWER($A$38,2)*POWER((1/$A74),2)*40)&lt;80)),(POWER($A$38,2)*POWER((1/$A74),2)*40),""))</f>
        <v/>
      </c>
      <c r="H74" s="141" t="str">
        <f t="shared" ref="H74:H90" si="7">IF($A$38=0,"",IF(ISNUMBER(G74),G74*0.0689476,""))</f>
        <v/>
      </c>
    </row>
    <row r="75" spans="1:14" ht="15.75" thickBot="1">
      <c r="A75" s="630">
        <v>6.7000000000000004E-2</v>
      </c>
      <c r="B75" s="630"/>
      <c r="C75" s="685" t="s">
        <v>3495</v>
      </c>
      <c r="D75" s="610"/>
      <c r="E75" s="138" t="str">
        <f t="shared" si="5"/>
        <v/>
      </c>
      <c r="F75" s="139" t="str">
        <f t="shared" si="6"/>
        <v/>
      </c>
      <c r="G75" s="140" t="str">
        <f t="shared" ref="G75:G90" si="8">IF($A$38&lt;0.01,"",IF(AND(((POWER($A$38,2)*POWER((1/$A75),2)*40)&gt;10),((POWER($A$38,2)*POWER((1/$A75),2)*40)&lt;80)),(POWER($A$38,2)*POWER((1/$A75),2)*40),""))</f>
        <v/>
      </c>
      <c r="H75" s="141" t="str">
        <f t="shared" si="7"/>
        <v/>
      </c>
    </row>
    <row r="76" spans="1:14" ht="15.75" thickBot="1">
      <c r="A76" s="625">
        <v>0.1</v>
      </c>
      <c r="B76" s="625"/>
      <c r="C76" s="685" t="s">
        <v>3496</v>
      </c>
      <c r="D76" s="610"/>
      <c r="E76" s="138" t="str">
        <f t="shared" si="5"/>
        <v/>
      </c>
      <c r="F76" s="139" t="str">
        <f t="shared" si="6"/>
        <v/>
      </c>
      <c r="G76" s="140" t="str">
        <f t="shared" si="8"/>
        <v/>
      </c>
      <c r="H76" s="141" t="str">
        <f t="shared" si="7"/>
        <v/>
      </c>
    </row>
    <row r="77" spans="1:14" ht="15.75" thickBot="1">
      <c r="A77" s="626">
        <v>0.15</v>
      </c>
      <c r="B77" s="626"/>
      <c r="C77" s="685" t="s">
        <v>3497</v>
      </c>
      <c r="D77" s="610"/>
      <c r="E77" s="138" t="str">
        <f>IF(AND(((POWER($A$16,2)*POWER((1/$A77),2)*40)&gt;10),((POWER($A$16,2)*POWER((1/$A77),2)*40)&lt;80)),(POWER($A$16,2)*POWER((1/$A77),2)*40),"")</f>
        <v/>
      </c>
      <c r="F77" s="139" t="str">
        <f t="shared" si="6"/>
        <v/>
      </c>
      <c r="G77" s="140" t="str">
        <f t="shared" si="8"/>
        <v/>
      </c>
      <c r="H77" s="141" t="str">
        <f t="shared" si="7"/>
        <v/>
      </c>
    </row>
    <row r="78" spans="1:14" ht="15.75" thickBot="1">
      <c r="A78" s="627">
        <v>0.2</v>
      </c>
      <c r="B78" s="627"/>
      <c r="C78" s="685" t="s">
        <v>3498</v>
      </c>
      <c r="D78" s="610"/>
      <c r="E78" s="138" t="str">
        <f t="shared" si="5"/>
        <v/>
      </c>
      <c r="F78" s="139" t="str">
        <f t="shared" si="6"/>
        <v/>
      </c>
      <c r="G78" s="140" t="str">
        <f t="shared" si="8"/>
        <v/>
      </c>
      <c r="H78" s="141" t="str">
        <f t="shared" si="7"/>
        <v/>
      </c>
    </row>
    <row r="79" spans="1:14" ht="15.75" thickBot="1">
      <c r="A79" s="622">
        <v>0.25</v>
      </c>
      <c r="B79" s="622"/>
      <c r="C79" s="685" t="s">
        <v>3499</v>
      </c>
      <c r="D79" s="610"/>
      <c r="E79" s="138" t="str">
        <f t="shared" si="5"/>
        <v/>
      </c>
      <c r="F79" s="139" t="str">
        <f t="shared" si="6"/>
        <v/>
      </c>
      <c r="G79" s="140" t="str">
        <f t="shared" si="8"/>
        <v/>
      </c>
      <c r="H79" s="141" t="str">
        <f t="shared" si="7"/>
        <v/>
      </c>
    </row>
    <row r="80" spans="1:14" ht="15.75" thickBot="1">
      <c r="A80" s="623">
        <v>0.3</v>
      </c>
      <c r="B80" s="623"/>
      <c r="C80" s="685" t="s">
        <v>3500</v>
      </c>
      <c r="D80" s="610"/>
      <c r="E80" s="138" t="str">
        <f t="shared" si="5"/>
        <v/>
      </c>
      <c r="F80" s="139" t="str">
        <f t="shared" si="6"/>
        <v/>
      </c>
      <c r="G80" s="140" t="str">
        <f t="shared" si="8"/>
        <v/>
      </c>
      <c r="H80" s="141" t="str">
        <f t="shared" si="7"/>
        <v/>
      </c>
    </row>
    <row r="81" spans="1:8" ht="15.75" thickBot="1">
      <c r="A81" s="624">
        <v>0.4</v>
      </c>
      <c r="B81" s="624"/>
      <c r="C81" s="685" t="s">
        <v>3501</v>
      </c>
      <c r="D81" s="610"/>
      <c r="E81" s="138" t="str">
        <f t="shared" si="5"/>
        <v/>
      </c>
      <c r="F81" s="139" t="str">
        <f t="shared" si="6"/>
        <v/>
      </c>
      <c r="G81" s="140" t="str">
        <f t="shared" si="8"/>
        <v/>
      </c>
      <c r="H81" s="141" t="str">
        <f t="shared" si="7"/>
        <v/>
      </c>
    </row>
    <row r="82" spans="1:8" ht="15.75" thickBot="1">
      <c r="A82" s="618">
        <v>0.5</v>
      </c>
      <c r="B82" s="619"/>
      <c r="C82" s="685" t="s">
        <v>3502</v>
      </c>
      <c r="D82" s="610"/>
      <c r="E82" s="138" t="str">
        <f t="shared" si="5"/>
        <v/>
      </c>
      <c r="F82" s="139" t="str">
        <f t="shared" si="6"/>
        <v/>
      </c>
      <c r="G82" s="140" t="str">
        <f t="shared" si="8"/>
        <v/>
      </c>
      <c r="H82" s="141" t="str">
        <f t="shared" si="7"/>
        <v/>
      </c>
    </row>
    <row r="83" spans="1:8" ht="15.75" thickBot="1">
      <c r="A83" s="620">
        <v>0.6</v>
      </c>
      <c r="B83" s="620"/>
      <c r="C83" s="685" t="s">
        <v>3503</v>
      </c>
      <c r="D83" s="610"/>
      <c r="E83" s="138" t="str">
        <f t="shared" si="5"/>
        <v/>
      </c>
      <c r="F83" s="139" t="str">
        <f t="shared" si="6"/>
        <v/>
      </c>
      <c r="G83" s="140" t="str">
        <f t="shared" si="8"/>
        <v/>
      </c>
      <c r="H83" s="141" t="str">
        <f t="shared" si="7"/>
        <v/>
      </c>
    </row>
    <row r="84" spans="1:8" ht="15.75" thickBot="1">
      <c r="A84" s="621">
        <v>0.8</v>
      </c>
      <c r="B84" s="621"/>
      <c r="C84" s="685" t="s">
        <v>3504</v>
      </c>
      <c r="D84" s="610"/>
      <c r="E84" s="138" t="str">
        <f t="shared" si="5"/>
        <v/>
      </c>
      <c r="F84" s="139" t="str">
        <f t="shared" si="6"/>
        <v/>
      </c>
      <c r="G84" s="140" t="str">
        <f t="shared" si="8"/>
        <v/>
      </c>
      <c r="H84" s="141" t="str">
        <f t="shared" si="7"/>
        <v/>
      </c>
    </row>
    <row r="85" spans="1:8" ht="15.75" thickBot="1">
      <c r="A85" s="615">
        <v>1</v>
      </c>
      <c r="B85" s="615"/>
      <c r="C85" s="685" t="s">
        <v>3505</v>
      </c>
      <c r="D85" s="610"/>
      <c r="E85" s="138" t="str">
        <f t="shared" si="5"/>
        <v/>
      </c>
      <c r="F85" s="139" t="str">
        <f t="shared" si="6"/>
        <v/>
      </c>
      <c r="G85" s="140" t="str">
        <f t="shared" si="8"/>
        <v/>
      </c>
      <c r="H85" s="141" t="str">
        <f t="shared" si="7"/>
        <v/>
      </c>
    </row>
    <row r="86" spans="1:8" ht="15.75" thickBot="1">
      <c r="A86" s="616">
        <v>1.25</v>
      </c>
      <c r="B86" s="616"/>
      <c r="C86" s="685" t="s">
        <v>3506</v>
      </c>
      <c r="D86" s="610"/>
      <c r="E86" s="138" t="str">
        <f t="shared" si="5"/>
        <v/>
      </c>
      <c r="F86" s="139" t="str">
        <f t="shared" si="6"/>
        <v/>
      </c>
      <c r="G86" s="140" t="str">
        <f t="shared" si="8"/>
        <v/>
      </c>
      <c r="H86" s="141" t="str">
        <f t="shared" si="7"/>
        <v/>
      </c>
    </row>
    <row r="87" spans="1:8" ht="15.75" thickBot="1">
      <c r="A87" s="617">
        <v>1.5</v>
      </c>
      <c r="B87" s="617"/>
      <c r="C87" s="685" t="s">
        <v>3507</v>
      </c>
      <c r="D87" s="610"/>
      <c r="E87" s="138" t="str">
        <f t="shared" si="5"/>
        <v/>
      </c>
      <c r="F87" s="139" t="str">
        <f t="shared" si="6"/>
        <v/>
      </c>
      <c r="G87" s="140" t="str">
        <f t="shared" si="8"/>
        <v/>
      </c>
      <c r="H87" s="141" t="str">
        <f t="shared" si="7"/>
        <v/>
      </c>
    </row>
    <row r="88" spans="1:8" ht="15.75" thickBot="1">
      <c r="A88" s="609">
        <v>2</v>
      </c>
      <c r="B88" s="609"/>
      <c r="C88" s="685" t="s">
        <v>3508</v>
      </c>
      <c r="D88" s="610"/>
      <c r="E88" s="138" t="str">
        <f t="shared" si="5"/>
        <v/>
      </c>
      <c r="F88" s="139" t="str">
        <f t="shared" si="6"/>
        <v/>
      </c>
      <c r="G88" s="140" t="str">
        <f t="shared" si="8"/>
        <v/>
      </c>
      <c r="H88" s="141" t="str">
        <f t="shared" si="7"/>
        <v/>
      </c>
    </row>
    <row r="89" spans="1:8" ht="15.75" thickBot="1">
      <c r="A89" s="612">
        <v>2.5</v>
      </c>
      <c r="B89" s="612"/>
      <c r="C89" s="685" t="s">
        <v>3509</v>
      </c>
      <c r="D89" s="610"/>
      <c r="E89" s="138" t="str">
        <f t="shared" si="5"/>
        <v/>
      </c>
      <c r="F89" s="139" t="str">
        <f t="shared" si="6"/>
        <v/>
      </c>
      <c r="G89" s="140" t="str">
        <f t="shared" si="8"/>
        <v/>
      </c>
      <c r="H89" s="141" t="str">
        <f t="shared" si="7"/>
        <v/>
      </c>
    </row>
    <row r="90" spans="1:8">
      <c r="A90" s="612">
        <v>3</v>
      </c>
      <c r="B90" s="613"/>
      <c r="C90" s="685" t="s">
        <v>3510</v>
      </c>
      <c r="D90" s="610"/>
      <c r="E90" s="138" t="str">
        <f t="shared" si="5"/>
        <v/>
      </c>
      <c r="F90" s="139" t="str">
        <f t="shared" si="6"/>
        <v/>
      </c>
      <c r="G90" s="140" t="str">
        <f t="shared" si="8"/>
        <v/>
      </c>
      <c r="H90" s="141" t="str">
        <f t="shared" si="7"/>
        <v/>
      </c>
    </row>
    <row r="91" spans="1:8">
      <c r="A91" s="142" t="s">
        <v>3492</v>
      </c>
      <c r="B91" s="142"/>
      <c r="C91" s="142"/>
      <c r="D91" s="142"/>
      <c r="E91" s="142"/>
      <c r="F91" s="142"/>
      <c r="G91" s="142"/>
      <c r="H91" s="142"/>
    </row>
    <row r="92" spans="1:8">
      <c r="A92" s="142"/>
      <c r="B92" s="142"/>
      <c r="C92" s="142"/>
      <c r="D92" s="142"/>
      <c r="E92" s="142"/>
      <c r="F92" s="142"/>
      <c r="G92" s="142"/>
      <c r="H92" s="142"/>
    </row>
    <row r="93" spans="1:8">
      <c r="A93" s="142"/>
      <c r="B93" s="142"/>
      <c r="C93" s="142"/>
      <c r="D93" s="142"/>
      <c r="E93" s="142"/>
      <c r="F93" s="142"/>
      <c r="G93" s="142"/>
      <c r="H93" s="142"/>
    </row>
    <row r="94" spans="1:8" ht="45.75" customHeight="1">
      <c r="A94" s="605" t="str">
        <f>CONCATENATE("Metering Orifice Selection Based on Options for ",A3," based on optimal pressures @ ",ROUND(E71,2)," us gpm:")</f>
        <v>Metering Orifice Selection Based on Options for Product 2 based on optimal pressures @ 0 us gpm:</v>
      </c>
      <c r="B94" s="605"/>
      <c r="C94" s="605"/>
      <c r="D94" s="605"/>
      <c r="E94" s="604"/>
      <c r="F94" s="604"/>
      <c r="G94" s="142"/>
      <c r="H94" s="142"/>
    </row>
    <row r="95" spans="1:8" ht="45.75" customHeight="1">
      <c r="A95" s="606" t="str">
        <f>IF(A38=0,"",CONCATENATE("Metering Orifice Selection Based on Options for ",A4," based on optimal pressures @ ",ROUND(G71,2)," us gpm:"))</f>
        <v/>
      </c>
      <c r="B95" s="607"/>
      <c r="C95" s="607"/>
      <c r="D95" s="607"/>
      <c r="E95" s="684"/>
      <c r="F95" s="684"/>
      <c r="G95" s="142"/>
      <c r="H95" s="142"/>
    </row>
    <row r="96" spans="1:8">
      <c r="A96" s="14"/>
      <c r="B96" s="14"/>
      <c r="C96" s="14"/>
      <c r="D96" s="14"/>
      <c r="E96" s="142"/>
      <c r="F96" s="142"/>
      <c r="G96" s="142"/>
      <c r="H96" s="142"/>
    </row>
    <row r="97" spans="1:8">
      <c r="A97" s="14"/>
      <c r="B97" s="14"/>
      <c r="C97" s="14"/>
      <c r="D97" s="14"/>
      <c r="E97" s="142"/>
      <c r="F97" s="142"/>
      <c r="G97" s="142"/>
      <c r="H97" s="142"/>
    </row>
    <row r="99" spans="1:8" ht="9.75" customHeight="1"/>
    <row r="109" spans="1:8" ht="9" customHeight="1"/>
    <row r="110" spans="1:8" collapsed="1"/>
    <row r="119" collapsed="1"/>
  </sheetData>
  <sheetProtection sheet="1" objects="1" scenarios="1" selectLockedCells="1"/>
  <mergeCells count="108">
    <mergeCell ref="L16:L17"/>
    <mergeCell ref="G10:H10"/>
    <mergeCell ref="G11:H11"/>
    <mergeCell ref="G12:H17"/>
    <mergeCell ref="I10:J11"/>
    <mergeCell ref="I16:I17"/>
    <mergeCell ref="J16:J17"/>
    <mergeCell ref="B4:D4"/>
    <mergeCell ref="A16:F16"/>
    <mergeCell ref="A15:C15"/>
    <mergeCell ref="D15:F15"/>
    <mergeCell ref="A19:E19"/>
    <mergeCell ref="F19:H19"/>
    <mergeCell ref="A20:B20"/>
    <mergeCell ref="D20:E20"/>
    <mergeCell ref="F20:H20"/>
    <mergeCell ref="A21:B21"/>
    <mergeCell ref="D21:E21"/>
    <mergeCell ref="F21:H21"/>
    <mergeCell ref="K16:K17"/>
    <mergeCell ref="B3:D3"/>
    <mergeCell ref="A2:H2"/>
    <mergeCell ref="A25:H25"/>
    <mergeCell ref="A33:F33"/>
    <mergeCell ref="G4:H4"/>
    <mergeCell ref="A10:F10"/>
    <mergeCell ref="A11:F11"/>
    <mergeCell ref="A26:E26"/>
    <mergeCell ref="F26:H26"/>
    <mergeCell ref="A27:B27"/>
    <mergeCell ref="D27:E27"/>
    <mergeCell ref="F27:H27"/>
    <mergeCell ref="A28:B28"/>
    <mergeCell ref="D28:E28"/>
    <mergeCell ref="F28:H28"/>
    <mergeCell ref="A29:B29"/>
    <mergeCell ref="A22:B22"/>
    <mergeCell ref="D22:E22"/>
    <mergeCell ref="F22:H22"/>
    <mergeCell ref="A32:H32"/>
    <mergeCell ref="D29:E29"/>
    <mergeCell ref="F29:H29"/>
    <mergeCell ref="A9:H9"/>
    <mergeCell ref="A18:H18"/>
    <mergeCell ref="A43:B43"/>
    <mergeCell ref="C42:C43"/>
    <mergeCell ref="D42:D44"/>
    <mergeCell ref="E42:E44"/>
    <mergeCell ref="A37:C37"/>
    <mergeCell ref="D37:F37"/>
    <mergeCell ref="A38:F38"/>
    <mergeCell ref="A40:H40"/>
    <mergeCell ref="A42:B42"/>
    <mergeCell ref="F42:F44"/>
    <mergeCell ref="G42:H44"/>
    <mergeCell ref="A44:B44"/>
    <mergeCell ref="A63:D63"/>
    <mergeCell ref="A59:E59"/>
    <mergeCell ref="A60:D60"/>
    <mergeCell ref="A61:D61"/>
    <mergeCell ref="A62:D62"/>
    <mergeCell ref="A69:H69"/>
    <mergeCell ref="A70:B72"/>
    <mergeCell ref="C70:D72"/>
    <mergeCell ref="E70:F70"/>
    <mergeCell ref="G70:H70"/>
    <mergeCell ref="E71:F71"/>
    <mergeCell ref="G71:H71"/>
    <mergeCell ref="A73:B73"/>
    <mergeCell ref="C73:D73"/>
    <mergeCell ref="A74:B74"/>
    <mergeCell ref="C74:D74"/>
    <mergeCell ref="A75:B75"/>
    <mergeCell ref="C75:D75"/>
    <mergeCell ref="A76:B76"/>
    <mergeCell ref="C76:D76"/>
    <mergeCell ref="A77:B77"/>
    <mergeCell ref="C77:D77"/>
    <mergeCell ref="A78:B78"/>
    <mergeCell ref="C78:D78"/>
    <mergeCell ref="A79:B79"/>
    <mergeCell ref="C79:D79"/>
    <mergeCell ref="A80:B80"/>
    <mergeCell ref="C80:D80"/>
    <mergeCell ref="A81:B81"/>
    <mergeCell ref="C81:D81"/>
    <mergeCell ref="A82:B82"/>
    <mergeCell ref="C82:D82"/>
    <mergeCell ref="A83:B83"/>
    <mergeCell ref="C83:D83"/>
    <mergeCell ref="A84:B84"/>
    <mergeCell ref="C84:D84"/>
    <mergeCell ref="A85:B85"/>
    <mergeCell ref="C85:D85"/>
    <mergeCell ref="A86:B86"/>
    <mergeCell ref="C86:D86"/>
    <mergeCell ref="A87:B87"/>
    <mergeCell ref="C87:D87"/>
    <mergeCell ref="A94:D94"/>
    <mergeCell ref="E94:F94"/>
    <mergeCell ref="A95:D95"/>
    <mergeCell ref="E95:F95"/>
    <mergeCell ref="A88:B88"/>
    <mergeCell ref="C88:D88"/>
    <mergeCell ref="A89:B89"/>
    <mergeCell ref="C89:D89"/>
    <mergeCell ref="A90:B90"/>
    <mergeCell ref="C90:D90"/>
  </mergeCells>
  <conditionalFormatting sqref="H5">
    <cfRule type="expression" dxfId="144" priority="97">
      <formula>$G$5&gt;0</formula>
    </cfRule>
  </conditionalFormatting>
  <conditionalFormatting sqref="G5">
    <cfRule type="expression" dxfId="143" priority="77">
      <formula>$H$5&gt;0</formula>
    </cfRule>
  </conditionalFormatting>
  <conditionalFormatting sqref="F19">
    <cfRule type="expression" dxfId="142" priority="96">
      <formula>($F$19&gt;0)</formula>
    </cfRule>
    <cfRule type="containsErrors" dxfId="141" priority="100">
      <formula>ISERROR(F19)</formula>
    </cfRule>
  </conditionalFormatting>
  <conditionalFormatting sqref="A5:F5">
    <cfRule type="containsBlanks" dxfId="140" priority="107">
      <formula>LEN(TRIM(A5))=0</formula>
    </cfRule>
  </conditionalFormatting>
  <conditionalFormatting sqref="E5:H5">
    <cfRule type="notContainsBlanks" dxfId="139" priority="103">
      <formula>LEN(TRIM(E5))&gt;0</formula>
    </cfRule>
  </conditionalFormatting>
  <conditionalFormatting sqref="F26">
    <cfRule type="expression" dxfId="138" priority="94">
      <formula>($F$26&gt;0)</formula>
    </cfRule>
    <cfRule type="containsErrors" dxfId="137" priority="95">
      <formula>ISERROR(F26)</formula>
    </cfRule>
  </conditionalFormatting>
  <conditionalFormatting sqref="B14:C14 B36:C36">
    <cfRule type="expression" dxfId="136" priority="91">
      <formula>$C$14=0</formula>
    </cfRule>
    <cfRule type="expression" dxfId="135" priority="92">
      <formula>$C$14&gt;0</formula>
    </cfRule>
  </conditionalFormatting>
  <conditionalFormatting sqref="E14:F14 E36:F36">
    <cfRule type="expression" dxfId="134" priority="89">
      <formula>$F$14=0</formula>
    </cfRule>
    <cfRule type="expression" dxfId="133" priority="90">
      <formula>$F$14&gt;0</formula>
    </cfRule>
  </conditionalFormatting>
  <conditionalFormatting sqref="A5">
    <cfRule type="notContainsBlanks" dxfId="132" priority="98">
      <formula>LEN(TRIM(A5))&gt;0</formula>
    </cfRule>
  </conditionalFormatting>
  <conditionalFormatting sqref="D5">
    <cfRule type="expression" dxfId="131" priority="83">
      <formula>SUM($B$5:$C$5)&gt;0</formula>
    </cfRule>
  </conditionalFormatting>
  <conditionalFormatting sqref="C5:D5">
    <cfRule type="notContainsBlanks" dxfId="130" priority="88">
      <formula>LEN(TRIM(C5))&gt;0</formula>
    </cfRule>
  </conditionalFormatting>
  <conditionalFormatting sqref="B5">
    <cfRule type="expression" dxfId="129" priority="81">
      <formula>SUM($C$5:$D$5)&gt;0</formula>
    </cfRule>
    <cfRule type="notContainsBlanks" dxfId="128" priority="99">
      <formula>LEN(TRIM(B5))&gt;0</formula>
    </cfRule>
  </conditionalFormatting>
  <conditionalFormatting sqref="C5">
    <cfRule type="expression" dxfId="127" priority="82">
      <formula>SUM($B$5,$D$5)&gt;0</formula>
    </cfRule>
  </conditionalFormatting>
  <conditionalFormatting sqref="B3">
    <cfRule type="expression" dxfId="126" priority="108">
      <formula>OR(SUM($B$8:$D$8)&gt;1.3,SUM($B$8:$D$8)&lt;0.89)</formula>
    </cfRule>
  </conditionalFormatting>
  <conditionalFormatting sqref="A43:B43">
    <cfRule type="cellIs" dxfId="125" priority="73" operator="equal">
      <formula>FALSE</formula>
    </cfRule>
    <cfRule type="notContainsBlanks" dxfId="124" priority="79">
      <formula>LEN(TRIM(A43))&gt;0</formula>
    </cfRule>
  </conditionalFormatting>
  <conditionalFormatting sqref="A10:F10">
    <cfRule type="notContainsBlanks" dxfId="123" priority="78">
      <formula>LEN(TRIM(A10))&gt;0</formula>
    </cfRule>
  </conditionalFormatting>
  <conditionalFormatting sqref="G5:H5">
    <cfRule type="containsBlanks" dxfId="122" priority="104">
      <formula>LEN(TRIM(G5))=0</formula>
    </cfRule>
  </conditionalFormatting>
  <conditionalFormatting sqref="E60">
    <cfRule type="cellIs" dxfId="121" priority="71" operator="equal">
      <formula>FALSE</formula>
    </cfRule>
    <cfRule type="expression" dxfId="120" priority="72">
      <formula>$E$60</formula>
    </cfRule>
  </conditionalFormatting>
  <conditionalFormatting sqref="B45:B57">
    <cfRule type="expression" dxfId="119" priority="70">
      <formula>$B$45&lt;=0</formula>
    </cfRule>
  </conditionalFormatting>
  <conditionalFormatting sqref="G70:H70 G72:H90">
    <cfRule type="expression" dxfId="118" priority="69">
      <formula>$A$38&gt;0.001</formula>
    </cfRule>
  </conditionalFormatting>
  <conditionalFormatting sqref="E73:E90 G73:G90">
    <cfRule type="cellIs" dxfId="117" priority="68" operator="between">
      <formula>10</formula>
      <formula>60</formula>
    </cfRule>
  </conditionalFormatting>
  <conditionalFormatting sqref="F73:F90 H73:H90">
    <cfRule type="cellIs" dxfId="116" priority="67" operator="between">
      <formula>0.9</formula>
      <formula>6</formula>
    </cfRule>
  </conditionalFormatting>
  <conditionalFormatting sqref="A94:H97">
    <cfRule type="expression" dxfId="115" priority="65">
      <formula>$F$21="no"</formula>
    </cfRule>
  </conditionalFormatting>
  <conditionalFormatting sqref="A95:F95">
    <cfRule type="expression" dxfId="114" priority="66">
      <formula>ISNUMBER($G$71)</formula>
    </cfRule>
  </conditionalFormatting>
  <conditionalFormatting sqref="A12">
    <cfRule type="expression" dxfId="113" priority="57">
      <formula>SUM($B$12:$F$12)&gt;0</formula>
    </cfRule>
  </conditionalFormatting>
  <conditionalFormatting sqref="B12:C12">
    <cfRule type="expression" dxfId="112" priority="56">
      <formula>SUM($A$12,$D$12:$F$12)&gt;0</formula>
    </cfRule>
  </conditionalFormatting>
  <conditionalFormatting sqref="D12">
    <cfRule type="expression" dxfId="111" priority="55">
      <formula>SUM($A$12:$C$12,$E$12:$F$12)&gt;0</formula>
    </cfRule>
  </conditionalFormatting>
  <conditionalFormatting sqref="E12:F12">
    <cfRule type="expression" dxfId="110" priority="54">
      <formula>SUM($A$12:$D$12)&gt;0</formula>
    </cfRule>
  </conditionalFormatting>
  <conditionalFormatting sqref="C12">
    <cfRule type="expression" dxfId="109" priority="58">
      <formula>SUM($A$12,$D$12:$F$12)&lt;B12</formula>
    </cfRule>
  </conditionalFormatting>
  <conditionalFormatting sqref="B12">
    <cfRule type="expression" dxfId="108" priority="59">
      <formula>SUM($A$12,$D$12:$F$12)&lt;C12</formula>
    </cfRule>
  </conditionalFormatting>
  <conditionalFormatting sqref="E12">
    <cfRule type="expression" dxfId="107" priority="60">
      <formula>SUM($A$12:$D$12)&lt;F12</formula>
    </cfRule>
  </conditionalFormatting>
  <conditionalFormatting sqref="F12">
    <cfRule type="expression" dxfId="106" priority="61">
      <formula>SUM($A$12:$D$12)&lt;E12</formula>
    </cfRule>
  </conditionalFormatting>
  <conditionalFormatting sqref="A12:F12">
    <cfRule type="notContainsBlanks" dxfId="105" priority="62">
      <formula>LEN(TRIM(A12))&gt;0</formula>
    </cfRule>
    <cfRule type="containsBlanks" dxfId="104" priority="63">
      <formula>LEN(TRIM(A12))=0</formula>
    </cfRule>
  </conditionalFormatting>
  <conditionalFormatting sqref="F21">
    <cfRule type="notContainsBlanks" dxfId="103" priority="48">
      <formula>LEN(TRIM(F21))&gt;0</formula>
    </cfRule>
  </conditionalFormatting>
  <conditionalFormatting sqref="A21 C21:D21">
    <cfRule type="expression" dxfId="102" priority="49">
      <formula>AND($A$21=0,$D$21&gt;0)</formula>
    </cfRule>
  </conditionalFormatting>
  <conditionalFormatting sqref="A21">
    <cfRule type="expression" dxfId="101" priority="50">
      <formula>AND($A$21=0,$C$21&gt;0)</formula>
    </cfRule>
    <cfRule type="notContainsBlanks" dxfId="100" priority="51">
      <formula>LEN(TRIM(A21))&gt;0</formula>
    </cfRule>
  </conditionalFormatting>
  <conditionalFormatting sqref="A21 C21">
    <cfRule type="expression" dxfId="99" priority="52">
      <formula>AND($A$21&gt;0,$C$21&gt;0)</formula>
    </cfRule>
  </conditionalFormatting>
  <conditionalFormatting sqref="D21">
    <cfRule type="expression" dxfId="98" priority="53">
      <formula>AND($A$21&gt;0,$C$21&gt;0,$D$21&gt;0)</formula>
    </cfRule>
  </conditionalFormatting>
  <conditionalFormatting sqref="A21:H21">
    <cfRule type="containsBlanks" dxfId="97" priority="47">
      <formula>LEN(TRIM(A21))=0</formula>
    </cfRule>
  </conditionalFormatting>
  <conditionalFormatting sqref="A28">
    <cfRule type="expression" dxfId="96" priority="42">
      <formula>AND($A$28=0,$C$28&gt;0)</formula>
    </cfRule>
    <cfRule type="notContainsBlanks" dxfId="95" priority="43">
      <formula>LEN(TRIM(A28))&gt;0</formula>
    </cfRule>
  </conditionalFormatting>
  <conditionalFormatting sqref="A28 C28">
    <cfRule type="expression" dxfId="94" priority="44">
      <formula>AND($A$28&gt;0,$C$28&gt;0)</formula>
    </cfRule>
  </conditionalFormatting>
  <conditionalFormatting sqref="D28">
    <cfRule type="expression" dxfId="93" priority="45">
      <formula>AND($A$28&gt;0,$C$28&gt;0,$D$28&gt;0)</formula>
    </cfRule>
  </conditionalFormatting>
  <conditionalFormatting sqref="A28 C28:D28">
    <cfRule type="expression" dxfId="92" priority="46">
      <formula>AND($C$28=0,$D$28&gt;0)</formula>
    </cfRule>
  </conditionalFormatting>
  <conditionalFormatting sqref="F28:H28">
    <cfRule type="notContainsBlanks" dxfId="91" priority="41">
      <formula>LEN(TRIM(F28))&gt;0</formula>
    </cfRule>
  </conditionalFormatting>
  <conditionalFormatting sqref="A28:H28">
    <cfRule type="containsBlanks" dxfId="90" priority="40">
      <formula>LEN(TRIM(A28))=0</formula>
    </cfRule>
  </conditionalFormatting>
  <conditionalFormatting sqref="A34">
    <cfRule type="expression" dxfId="89" priority="13">
      <formula>SUM($B$34:$F$34)&gt;0</formula>
    </cfRule>
  </conditionalFormatting>
  <conditionalFormatting sqref="B34:C34">
    <cfRule type="expression" dxfId="88" priority="12">
      <formula>SUM($A$34,$D$34:$F$34)&gt;0</formula>
    </cfRule>
  </conditionalFormatting>
  <conditionalFormatting sqref="D34">
    <cfRule type="expression" dxfId="87" priority="11">
      <formula>SUM($A$34:$C$34,$E$34:$F$34)&gt;0</formula>
    </cfRule>
  </conditionalFormatting>
  <conditionalFormatting sqref="E34:F34">
    <cfRule type="expression" dxfId="86" priority="10">
      <formula>SUM($A$34:$D$34)&gt;0</formula>
    </cfRule>
  </conditionalFormatting>
  <conditionalFormatting sqref="C34">
    <cfRule type="expression" dxfId="85" priority="14">
      <formula>SUM($A$34,$D$34:$F$34)&lt;B34</formula>
    </cfRule>
  </conditionalFormatting>
  <conditionalFormatting sqref="B34">
    <cfRule type="expression" dxfId="84" priority="15">
      <formula>SUM($A$34,$D$34:$F$34)&lt;C34</formula>
    </cfRule>
  </conditionalFormatting>
  <conditionalFormatting sqref="E34">
    <cfRule type="expression" dxfId="83" priority="16">
      <formula>SUM($A$34:$D$34)&lt;F34</formula>
    </cfRule>
  </conditionalFormatting>
  <conditionalFormatting sqref="F34">
    <cfRule type="expression" dxfId="82" priority="17">
      <formula>SUM($A$34:$D$34)&lt;E34</formula>
    </cfRule>
  </conditionalFormatting>
  <conditionalFormatting sqref="A34:F34">
    <cfRule type="notContainsBlanks" dxfId="81" priority="18">
      <formula>LEN(TRIM(A34))&gt;0</formula>
    </cfRule>
    <cfRule type="containsBlanks" dxfId="80" priority="19">
      <formula>LEN(TRIM(A34))=0</formula>
    </cfRule>
  </conditionalFormatting>
  <conditionalFormatting sqref="G11:H11">
    <cfRule type="expression" dxfId="79" priority="7">
      <formula>AND(G11="Standard",$A$16&lt;2.7,$A$16&gt;0.07)</formula>
    </cfRule>
    <cfRule type="expression" dxfId="78" priority="8">
      <formula>AND(G11="Low Flow",$A$16&lt;0.65,$A$16&gt;0.05)</formula>
    </cfRule>
    <cfRule type="expression" dxfId="77" priority="9">
      <formula>AND(G11="Ultra Low",$A$16&lt;0.24,$A$16&gt;0.01)</formula>
    </cfRule>
  </conditionalFormatting>
  <conditionalFormatting sqref="J12:J17">
    <cfRule type="containsErrors" dxfId="76" priority="1">
      <formula>ISERROR(J12)</formula>
    </cfRule>
    <cfRule type="cellIs" dxfId="75" priority="2" operator="greaterThan">
      <formula>1.5</formula>
    </cfRule>
    <cfRule type="colorScale" priority="3">
      <colorScale>
        <cfvo type="percent" val="0"/>
        <cfvo type="percent" val="100"/>
        <color theme="5" tint="-0.249977111117893"/>
        <color rgb="FF00B050"/>
      </colorScale>
    </cfRule>
  </conditionalFormatting>
  <dataValidations count="15">
    <dataValidation type="list" allowBlank="1" showInputMessage="1" showErrorMessage="1" promptTitle="Select Outlet Size" prompt="Select from the listing of fittings from the dropdown menu." sqref="D21" xr:uid="{39D96DF8-E45E-44EA-8ADE-E0E6794B057E}">
      <formula1>INDIRECT($B$23)</formula1>
    </dataValidation>
    <dataValidation type="decimal" operator="greaterThan" allowBlank="1" showInputMessage="1" showErrorMessage="1" sqref="C5:D5" xr:uid="{E36140A3-D466-4874-8E78-B0083B2AB341}">
      <formula1>0</formula1>
    </dataValidation>
    <dataValidation type="list" allowBlank="1" showInputMessage="1" showErrorMessage="1" promptTitle="Select Inlet Fitting Type" prompt="Select from the listing of fittings from the dropdown menu." sqref="A28" xr:uid="{95556F71-0B6F-4017-9198-173A7E852F5E}">
      <formula1>InletTypes_query</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7D4A5BC5-6494-40F1-AFBF-3910CB733E32}">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6DF6D52C-D2E5-44B8-9BFC-8402FB6F6CA7}">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9D8C445D-2B42-4BCB-A377-10ED40FF73E4}">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647A6E95-0180-434A-8C15-61B3A3024E80}">
      <formula1>0</formula1>
    </dataValidation>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AA8108EE-9C44-4EF4-B197-B321B3FD88C2}">
      <formula1>0</formula1>
    </dataValidation>
    <dataValidation type="whole" allowBlank="1" showInputMessage="1" showErrorMessage="1" sqref="B45:B57" xr:uid="{AF25F211-B3C8-450D-9E4B-1FD66BF44D56}">
      <formula1>0</formula1>
      <formula2>196</formula2>
    </dataValidation>
    <dataValidation type="list" allowBlank="1" showInputMessage="1" showErrorMessage="1" promptTitle="Select Manifold Inlet Size" prompt="Select from the listing of fittings from the dropdown menu." sqref="D28:E28" xr:uid="{1808981D-9E11-4FF2-96D8-EF6B407068DF}">
      <formula1>INDIRECT($B$30)</formula1>
    </dataValidation>
    <dataValidation type="list" allowBlank="1" showInputMessage="1" showErrorMessage="1" promptTitle="Select Outlet Fitting Type" prompt="Select from the listing of fittings from the dropdown menu." sqref="C21" xr:uid="{9C5B7903-7607-43A1-8A97-C9B87F8378CC}">
      <formula1>INDIRECT($A$21)</formula1>
    </dataValidation>
    <dataValidation type="list" allowBlank="1" showInputMessage="1" showErrorMessage="1" promptTitle="Select Inlet Orientation" prompt="Select from the listing of orientations from the dropdown menu." sqref="C28" xr:uid="{623D30E5-368A-4454-97AD-7CC04BB6CE70}">
      <formula1>INDIRECT($A$28)</formula1>
    </dataValidation>
    <dataValidation type="list" allowBlank="1" showInputMessage="1" showErrorMessage="1" promptTitle="Select Outlet Orientation" prompt="Select from the listing of orientations from the dropdown menu." sqref="C21" xr:uid="{19A59C5C-4AB5-44D8-BA5B-74A4F1956E6E}">
      <formula1>INDIRECT($A$21)</formula1>
    </dataValidation>
    <dataValidation type="list" allowBlank="1" showInputMessage="1" showErrorMessage="1" sqref="E94:F95" xr:uid="{AB38754D-549C-4C8D-BA09-2F4BF4BCAB2E}">
      <formula1>$C$73:$C$90</formula1>
    </dataValidation>
    <dataValidation type="list" allowBlank="1" showInputMessage="1" showErrorMessage="1" sqref="G11:H11" xr:uid="{3642302D-5578-4C72-866D-7F80E673FAAC}">
      <formula1>flowcolumn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Select Outlet Fitting Type" prompt="Select from the listing of fittings from the dropdown menu." xr:uid="{649406B1-E9B5-44EF-A6FC-3787676B6485}">
          <x14:formula1>
            <xm:f>AdministrationPage!$A$2:$A$6</xm:f>
          </x14:formula1>
          <xm:sqref>A21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291DB4F0-5D3C-469C-ACDF-62C90CB7D1F4}">
          <x14:formula1>
            <xm:f>AdministrationPage!$F$2:$F$4</xm:f>
          </x14:formula1>
          <xm:sqref>F28</xm:sqref>
        </x14:dataValidation>
        <x14:dataValidation type="list" allowBlank="1" showInputMessage="1" showErrorMessage="1" promptTitle="Are metering orifices required?" prompt="Select YES or NO from pull-down chart" xr:uid="{9D5D05E7-9C97-48A2-A08D-807489E4BAEF}">
          <x14:formula1>
            <xm:f>AdministrationPage!$G$2:$G$3</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C7E7-BF1B-40C1-947B-65B516CDDE91}">
  <dimension ref="A1:AK117"/>
  <sheetViews>
    <sheetView zoomScaleNormal="100" workbookViewId="0">
      <selection activeCell="A5" sqref="A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10" width="12" style="8" customWidth="1"/>
    <col min="11" max="11" width="12.28515625" style="8" bestFit="1" customWidth="1"/>
    <col min="12" max="15" width="7.28515625" style="8" customWidth="1"/>
    <col min="16" max="16" width="13.5703125" style="8" customWidth="1"/>
    <col min="17" max="17" width="13.42578125" style="8" customWidth="1"/>
    <col min="18" max="29" width="7.28515625" style="8" customWidth="1"/>
    <col min="30" max="30" width="9.140625" style="8"/>
    <col min="31" max="31" width="12" style="8" bestFit="1" customWidth="1"/>
    <col min="32" max="16384" width="9.140625" style="8"/>
  </cols>
  <sheetData>
    <row r="1" spans="1:37" ht="33.75">
      <c r="A1" s="61" t="s">
        <v>3654</v>
      </c>
      <c r="B1" s="14"/>
      <c r="C1" s="14"/>
      <c r="D1" s="14"/>
      <c r="E1" s="14"/>
      <c r="F1" s="14"/>
      <c r="G1" s="14"/>
      <c r="H1" s="14"/>
    </row>
    <row r="2" spans="1:37" ht="21">
      <c r="A2" s="669" t="str">
        <f>CONCATENATE(A3, " Setup")</f>
        <v>Product 3 Setup</v>
      </c>
      <c r="B2" s="669"/>
      <c r="C2" s="669"/>
      <c r="D2" s="669"/>
      <c r="E2" s="669"/>
      <c r="F2" s="669"/>
      <c r="G2" s="669"/>
      <c r="H2" s="669"/>
    </row>
    <row r="3" spans="1:37" s="9" customFormat="1">
      <c r="A3" s="62" t="str">
        <f>IF(A5="","Product 3",A5)</f>
        <v>Product 3</v>
      </c>
      <c r="B3" s="673" t="s">
        <v>119</v>
      </c>
      <c r="C3" s="673"/>
      <c r="D3" s="673"/>
      <c r="E3" s="18"/>
      <c r="F3" s="18"/>
      <c r="G3" s="15"/>
      <c r="H3" s="15"/>
    </row>
    <row r="4" spans="1:37" s="9" customFormat="1" ht="30" customHeight="1">
      <c r="A4" s="92" t="s">
        <v>31</v>
      </c>
      <c r="B4" s="662" t="s">
        <v>110</v>
      </c>
      <c r="C4" s="663"/>
      <c r="D4" s="664"/>
      <c r="E4" s="92" t="s">
        <v>8</v>
      </c>
      <c r="F4" s="92" t="s">
        <v>10</v>
      </c>
      <c r="G4" s="651" t="s">
        <v>3480</v>
      </c>
      <c r="H4" s="651"/>
    </row>
    <row r="5" spans="1:37" s="9" customFormat="1">
      <c r="A5" s="93"/>
      <c r="B5" s="93"/>
      <c r="C5" s="93"/>
      <c r="D5" s="93"/>
      <c r="E5" s="93"/>
      <c r="F5" s="93"/>
      <c r="G5" s="93"/>
      <c r="H5" s="93"/>
    </row>
    <row r="6" spans="1:37" s="9" customFormat="1" ht="106.5" customHeight="1">
      <c r="A6" s="90" t="s">
        <v>13</v>
      </c>
      <c r="B6" s="90" t="s">
        <v>113</v>
      </c>
      <c r="C6" s="90" t="s">
        <v>117</v>
      </c>
      <c r="D6" s="90" t="s">
        <v>118</v>
      </c>
      <c r="E6" s="90" t="s">
        <v>112</v>
      </c>
      <c r="F6" s="90" t="s">
        <v>3471</v>
      </c>
      <c r="G6" s="91" t="s">
        <v>0</v>
      </c>
      <c r="H6" s="91" t="s">
        <v>1</v>
      </c>
    </row>
    <row r="7" spans="1:37" hidden="1">
      <c r="A7" s="69"/>
      <c r="B7" s="115" t="s">
        <v>120</v>
      </c>
      <c r="C7" s="115"/>
      <c r="D7" s="116">
        <f>IF(MAX(B8:D8)=0,1,MAX(B8:D8))</f>
        <v>1</v>
      </c>
      <c r="E7" s="69"/>
      <c r="F7" s="69"/>
      <c r="G7" s="69"/>
      <c r="H7" s="69"/>
    </row>
    <row r="8" spans="1:37" hidden="1">
      <c r="A8" s="117"/>
      <c r="B8" s="118">
        <f>SQRT(B5/1)</f>
        <v>0</v>
      </c>
      <c r="C8" s="118">
        <f>SQRT(C5/8.34)</f>
        <v>0</v>
      </c>
      <c r="D8" s="118">
        <f>SQRT(D5)</f>
        <v>0</v>
      </c>
      <c r="E8" s="117"/>
      <c r="F8" s="69"/>
      <c r="G8" s="69"/>
      <c r="H8" s="69"/>
    </row>
    <row r="9" spans="1:37" ht="21">
      <c r="A9" s="631" t="str">
        <f>CONCATENATE("Primary Flow Rate For ",A3)</f>
        <v>Primary Flow Rate For Product 3</v>
      </c>
      <c r="B9" s="631"/>
      <c r="C9" s="631"/>
      <c r="D9" s="631"/>
      <c r="E9" s="631"/>
      <c r="F9" s="631"/>
      <c r="G9" s="631"/>
      <c r="H9" s="631"/>
    </row>
    <row r="10" spans="1:37" ht="15" customHeight="1">
      <c r="A10" s="639" t="str">
        <f>IF(A16&gt;1.53,"Please verify flow rate. You may be operating outside of operational flow range.",IF(A16&lt;0.04,"Please verify flow rate. You may be operating outside of operational flow range.",""))</f>
        <v>Please verify flow rate. You may be operating outside of operational flow range.</v>
      </c>
      <c r="B10" s="639"/>
      <c r="C10" s="639"/>
      <c r="D10" s="639"/>
      <c r="E10" s="639"/>
      <c r="F10" s="639"/>
      <c r="G10" s="676" t="s">
        <v>3649</v>
      </c>
      <c r="H10" s="676"/>
      <c r="I10" s="682" t="s">
        <v>3656</v>
      </c>
      <c r="J10" s="682"/>
      <c r="K10" s="133"/>
      <c r="L10" s="132"/>
      <c r="T10" s="35"/>
      <c r="U10" s="35"/>
      <c r="V10" s="35"/>
      <c r="W10" s="35"/>
      <c r="AF10" s="34"/>
      <c r="AG10" s="35"/>
      <c r="AH10" s="35"/>
      <c r="AI10" s="35"/>
      <c r="AJ10" s="35"/>
      <c r="AK10" s="35"/>
    </row>
    <row r="11" spans="1:37">
      <c r="A11" s="651" t="s">
        <v>29</v>
      </c>
      <c r="B11" s="651"/>
      <c r="C11" s="651"/>
      <c r="D11" s="651"/>
      <c r="E11" s="651"/>
      <c r="F11" s="651"/>
      <c r="G11" s="674"/>
      <c r="H11" s="674"/>
      <c r="I11" s="682"/>
      <c r="J11" s="682"/>
      <c r="K11" s="16" t="s">
        <v>3658</v>
      </c>
      <c r="L11" s="16" t="s">
        <v>3657</v>
      </c>
      <c r="T11" s="35"/>
      <c r="U11" s="35"/>
      <c r="V11" s="35"/>
      <c r="W11" s="35"/>
      <c r="AF11" s="34"/>
      <c r="AG11" s="35"/>
      <c r="AH11" s="35"/>
      <c r="AI11" s="35"/>
      <c r="AJ11" s="35"/>
      <c r="AK11" s="35"/>
    </row>
    <row r="12" spans="1:37">
      <c r="A12" s="93"/>
      <c r="B12" s="93"/>
      <c r="C12" s="93"/>
      <c r="D12" s="93"/>
      <c r="E12" s="93"/>
      <c r="F12" s="93"/>
      <c r="G12" s="678" t="s">
        <v>3653</v>
      </c>
      <c r="H12" s="678"/>
      <c r="I12" s="452" t="s">
        <v>3648</v>
      </c>
      <c r="J12" s="467" t="e">
        <f>IF(K12&lt;1.05,IF(L12&lt;1.01,(K12+L12)/2,"Too small"),"Too large")</f>
        <v>#DIV/0!</v>
      </c>
      <c r="K12" s="468" t="e">
        <f>(1-(0.01/A16))</f>
        <v>#DIV/0!</v>
      </c>
      <c r="L12" s="468">
        <f>A16/0.24</f>
        <v>0</v>
      </c>
      <c r="T12" s="35"/>
      <c r="U12" s="35"/>
      <c r="V12" s="35"/>
      <c r="W12" s="35"/>
      <c r="AF12" s="34"/>
      <c r="AG12" s="35"/>
      <c r="AH12" s="35"/>
      <c r="AI12" s="35"/>
      <c r="AJ12" s="35"/>
      <c r="AK12" s="35"/>
    </row>
    <row r="13" spans="1:37" ht="30">
      <c r="A13" s="91" t="s">
        <v>3</v>
      </c>
      <c r="B13" s="91" t="s">
        <v>5</v>
      </c>
      <c r="C13" s="91" t="s">
        <v>32</v>
      </c>
      <c r="D13" s="91" t="s">
        <v>4</v>
      </c>
      <c r="E13" s="91" t="s">
        <v>3655</v>
      </c>
      <c r="F13" s="91" t="s">
        <v>33</v>
      </c>
      <c r="G13" s="678"/>
      <c r="H13" s="678"/>
      <c r="I13" s="465" t="s">
        <v>3651</v>
      </c>
      <c r="J13" s="467" t="e">
        <f>IF(K13&lt;1,IF(L13&lt;1,(K13+L13)/2,"Too small"),"Too large")</f>
        <v>#DIV/0!</v>
      </c>
      <c r="K13" s="468" t="e">
        <f>(1-(0.06/A16))</f>
        <v>#DIV/0!</v>
      </c>
      <c r="L13" s="468">
        <f>A16/0.65</f>
        <v>0</v>
      </c>
      <c r="T13" s="35"/>
      <c r="U13" s="35"/>
      <c r="V13" s="35"/>
      <c r="W13" s="35"/>
      <c r="AF13" s="34"/>
      <c r="AG13" s="35"/>
      <c r="AH13" s="35"/>
      <c r="AI13" s="35"/>
      <c r="AJ13" s="35"/>
      <c r="AK13" s="35"/>
    </row>
    <row r="14" spans="1:37" ht="15" hidden="1" customHeight="1">
      <c r="A14" s="64">
        <f>A12</f>
        <v>0</v>
      </c>
      <c r="B14" s="65" t="s">
        <v>109</v>
      </c>
      <c r="C14" s="66">
        <f>((B12*C12*H5)/5940)*D7</f>
        <v>0</v>
      </c>
      <c r="D14" s="64">
        <f>D12*D7</f>
        <v>0</v>
      </c>
      <c r="E14" s="65" t="s">
        <v>109</v>
      </c>
      <c r="F14" s="67">
        <f>(((G5/100)*E12*F12)/600)*D7</f>
        <v>0</v>
      </c>
      <c r="G14" s="678"/>
      <c r="H14" s="678"/>
      <c r="I14" s="465"/>
      <c r="J14" s="467">
        <f>K14-L14</f>
        <v>0</v>
      </c>
      <c r="K14" s="468"/>
      <c r="L14" s="468"/>
      <c r="T14" s="35"/>
      <c r="U14" s="35"/>
      <c r="V14" s="35"/>
      <c r="W14" s="35"/>
      <c r="AF14" s="34"/>
      <c r="AG14" s="35"/>
      <c r="AH14" s="35"/>
      <c r="AI14" s="35"/>
      <c r="AJ14" s="35"/>
      <c r="AK14" s="35"/>
    </row>
    <row r="15" spans="1:37" ht="15" hidden="1" customHeight="1">
      <c r="A15" s="665">
        <f>MAX(A14,C14)</f>
        <v>0</v>
      </c>
      <c r="B15" s="665"/>
      <c r="C15" s="665"/>
      <c r="D15" s="666">
        <f>MAX(D14,F14)</f>
        <v>0</v>
      </c>
      <c r="E15" s="666"/>
      <c r="F15" s="666"/>
      <c r="G15" s="678"/>
      <c r="H15" s="678"/>
      <c r="I15" s="465"/>
      <c r="J15" s="467">
        <f>K15-L15</f>
        <v>0</v>
      </c>
      <c r="K15" s="468"/>
      <c r="L15" s="468"/>
      <c r="T15" s="35"/>
      <c r="U15" s="35"/>
      <c r="V15" s="35"/>
      <c r="W15" s="35"/>
      <c r="AF15" s="34"/>
      <c r="AG15" s="35"/>
      <c r="AH15" s="35"/>
      <c r="AI15" s="35"/>
      <c r="AJ15" s="35"/>
      <c r="AK15" s="35"/>
    </row>
    <row r="16" spans="1:37">
      <c r="A16" s="665">
        <f>MAX(A15,(D15/3.7851))</f>
        <v>0</v>
      </c>
      <c r="B16" s="639"/>
      <c r="C16" s="639"/>
      <c r="D16" s="639"/>
      <c r="E16" s="639"/>
      <c r="F16" s="639"/>
      <c r="G16" s="678"/>
      <c r="H16" s="678"/>
      <c r="I16" s="696" t="s">
        <v>3652</v>
      </c>
      <c r="J16" s="679" t="e">
        <f>IF(K16&lt;1.05,IF(L16&lt;1,(K16+L16)/2,"Too small"),"Too large")</f>
        <v>#DIV/0!</v>
      </c>
      <c r="K16" s="680" t="e">
        <f>(1-(0.1/A16))</f>
        <v>#DIV/0!</v>
      </c>
      <c r="L16" s="680">
        <f>A16/2.7</f>
        <v>0</v>
      </c>
      <c r="T16" s="35"/>
      <c r="U16" s="35"/>
      <c r="V16" s="35"/>
      <c r="W16" s="35"/>
      <c r="AF16" s="34"/>
      <c r="AG16" s="35"/>
      <c r="AH16" s="35"/>
      <c r="AI16" s="35"/>
      <c r="AJ16" s="35"/>
      <c r="AK16" s="35"/>
    </row>
    <row r="17" spans="1:37">
      <c r="A17" s="68"/>
      <c r="B17" s="17"/>
      <c r="C17" s="17"/>
      <c r="D17" s="17"/>
      <c r="E17" s="17"/>
      <c r="F17" s="17"/>
      <c r="G17" s="678"/>
      <c r="H17" s="678"/>
      <c r="I17" s="696"/>
      <c r="J17" s="679"/>
      <c r="K17" s="680"/>
      <c r="L17" s="680"/>
      <c r="T17" s="35"/>
      <c r="U17" s="35"/>
      <c r="V17" s="35"/>
      <c r="W17" s="35"/>
      <c r="AF17" s="34"/>
      <c r="AG17" s="35"/>
      <c r="AH17" s="35"/>
      <c r="AI17" s="35"/>
      <c r="AJ17" s="35"/>
      <c r="AK17" s="35"/>
    </row>
    <row r="18" spans="1:37" ht="21">
      <c r="A18" s="631" t="str">
        <f>CONCATENATE("Outlet Selection For ",A3)</f>
        <v>Outlet Selection For Product 3</v>
      </c>
      <c r="B18" s="631"/>
      <c r="C18" s="631"/>
      <c r="D18" s="631"/>
      <c r="E18" s="631"/>
      <c r="F18" s="631"/>
      <c r="G18" s="631"/>
      <c r="H18" s="631"/>
      <c r="I18" s="13"/>
      <c r="J18" s="10"/>
      <c r="T18" s="35"/>
      <c r="U18" s="35"/>
      <c r="AD18" s="34"/>
      <c r="AE18" s="35"/>
      <c r="AF18" s="35"/>
      <c r="AG18" s="35"/>
      <c r="AH18" s="35"/>
      <c r="AI18" s="35"/>
    </row>
    <row r="19" spans="1:37">
      <c r="A19" s="668" t="s">
        <v>3473</v>
      </c>
      <c r="B19" s="668"/>
      <c r="C19" s="668"/>
      <c r="D19" s="668"/>
      <c r="E19" s="668"/>
      <c r="F19" s="639" t="e">
        <f>VLOOKUP(TRUE,AdministrationPage!A64:E83,2,0)</f>
        <v>#N/A</v>
      </c>
      <c r="G19" s="639"/>
      <c r="H19" s="639"/>
      <c r="I19" s="13"/>
      <c r="J19" s="10"/>
      <c r="T19" s="35"/>
      <c r="U19" s="35"/>
      <c r="AD19" s="34"/>
      <c r="AE19" s="35"/>
      <c r="AF19" s="35"/>
      <c r="AG19" s="35"/>
      <c r="AH19" s="35"/>
      <c r="AI19" s="35"/>
    </row>
    <row r="20" spans="1:37" ht="30" customHeight="1">
      <c r="A20" s="651" t="s">
        <v>104</v>
      </c>
      <c r="B20" s="651"/>
      <c r="C20" s="92" t="s">
        <v>105</v>
      </c>
      <c r="D20" s="651" t="s">
        <v>106</v>
      </c>
      <c r="E20" s="651"/>
      <c r="F20" s="651" t="s">
        <v>47</v>
      </c>
      <c r="G20" s="651"/>
      <c r="H20" s="651"/>
      <c r="I20" s="13"/>
      <c r="J20" s="13"/>
      <c r="K20" s="13"/>
      <c r="T20" s="35"/>
      <c r="U20" s="35"/>
      <c r="V20" s="35"/>
      <c r="W20" s="35"/>
      <c r="AF20" s="34"/>
      <c r="AG20" s="35"/>
      <c r="AH20" s="35"/>
      <c r="AI20" s="35"/>
      <c r="AJ20" s="35"/>
      <c r="AK20" s="35"/>
    </row>
    <row r="21" spans="1:37">
      <c r="A21" s="650"/>
      <c r="B21" s="650"/>
      <c r="C21" s="93"/>
      <c r="D21" s="650"/>
      <c r="E21" s="650"/>
      <c r="F21" s="650"/>
      <c r="G21" s="650"/>
      <c r="H21" s="650"/>
      <c r="I21" s="13"/>
      <c r="J21" s="13"/>
      <c r="K21" s="13"/>
      <c r="T21" s="35"/>
      <c r="U21" s="35"/>
      <c r="V21" s="35"/>
      <c r="W21" s="35"/>
      <c r="AF21" s="34"/>
      <c r="AG21" s="35"/>
      <c r="AH21" s="35"/>
      <c r="AI21" s="35"/>
      <c r="AJ21" s="35"/>
      <c r="AK21" s="35"/>
    </row>
    <row r="22" spans="1:37" ht="90.75" customHeight="1">
      <c r="A22" s="683" t="s">
        <v>111</v>
      </c>
      <c r="B22" s="683"/>
      <c r="C22" s="91" t="s">
        <v>9</v>
      </c>
      <c r="D22" s="659" t="s">
        <v>100</v>
      </c>
      <c r="E22" s="659"/>
      <c r="F22" s="659" t="s">
        <v>107</v>
      </c>
      <c r="G22" s="659"/>
      <c r="H22" s="659"/>
      <c r="I22" s="13"/>
      <c r="J22" s="13"/>
      <c r="K22" s="13"/>
      <c r="T22" s="35"/>
      <c r="U22" s="35"/>
      <c r="V22" s="35"/>
      <c r="W22" s="35"/>
      <c r="AF22" s="34"/>
      <c r="AG22" s="35"/>
      <c r="AH22" s="35"/>
      <c r="AI22" s="35"/>
      <c r="AJ22" s="35"/>
      <c r="AK22" s="35"/>
    </row>
    <row r="23" spans="1:37" hidden="1">
      <c r="A23" s="14"/>
      <c r="B23" s="69" t="str">
        <f>CONCATENATE(A21,C21)</f>
        <v/>
      </c>
      <c r="C23" s="14"/>
      <c r="D23" s="14"/>
      <c r="E23" s="15"/>
      <c r="F23" s="14"/>
      <c r="G23" s="16"/>
      <c r="H23" s="16"/>
      <c r="I23" s="13"/>
      <c r="J23" s="10"/>
      <c r="T23" s="35"/>
      <c r="U23" s="35"/>
      <c r="AD23" s="34"/>
      <c r="AE23" s="35"/>
      <c r="AF23" s="35"/>
      <c r="AG23" s="35"/>
      <c r="AH23" s="35"/>
      <c r="AI23" s="35"/>
    </row>
    <row r="24" spans="1:37">
      <c r="A24" s="14"/>
      <c r="B24" s="69"/>
      <c r="C24" s="14"/>
      <c r="D24" s="14"/>
      <c r="E24" s="15"/>
      <c r="F24" s="14"/>
      <c r="G24" s="16"/>
      <c r="H24" s="16"/>
      <c r="I24" s="13"/>
      <c r="J24" s="10"/>
      <c r="T24" s="35"/>
      <c r="U24" s="35"/>
      <c r="AD24" s="34"/>
      <c r="AE24" s="35"/>
      <c r="AF24" s="35"/>
      <c r="AG24" s="35"/>
      <c r="AH24" s="35"/>
      <c r="AI24" s="35"/>
    </row>
    <row r="25" spans="1:37" ht="21">
      <c r="A25" s="631" t="str">
        <f>CONCATENATE("Inlet Selection For ",A3)</f>
        <v>Inlet Selection For Product 3</v>
      </c>
      <c r="B25" s="631"/>
      <c r="C25" s="631"/>
      <c r="D25" s="631"/>
      <c r="E25" s="631"/>
      <c r="F25" s="631"/>
      <c r="G25" s="631"/>
      <c r="H25" s="631"/>
      <c r="Z25" s="34"/>
      <c r="AA25" s="35"/>
      <c r="AB25" s="35"/>
      <c r="AC25" s="35"/>
      <c r="AD25" s="35"/>
      <c r="AE25" s="35"/>
    </row>
    <row r="26" spans="1:37">
      <c r="A26" s="668" t="s">
        <v>3472</v>
      </c>
      <c r="B26" s="668"/>
      <c r="C26" s="668"/>
      <c r="D26" s="668"/>
      <c r="E26" s="668"/>
      <c r="F26" s="639" t="e">
        <f>VLOOKUP(TRUE,AdministrationPage!I64:M83,2,0)</f>
        <v>#N/A</v>
      </c>
      <c r="G26" s="639"/>
      <c r="H26" s="639"/>
      <c r="I26" s="13"/>
      <c r="J26" s="10"/>
      <c r="T26" s="35"/>
      <c r="U26" s="35"/>
      <c r="AD26" s="34"/>
      <c r="AE26" s="35"/>
      <c r="AF26" s="35"/>
      <c r="AG26" s="35"/>
      <c r="AH26" s="35"/>
      <c r="AI26" s="35"/>
    </row>
    <row r="27" spans="1:37" ht="75" customHeight="1">
      <c r="A27" s="651" t="s">
        <v>82</v>
      </c>
      <c r="B27" s="651"/>
      <c r="C27" s="92" t="s">
        <v>46</v>
      </c>
      <c r="D27" s="651" t="s">
        <v>83</v>
      </c>
      <c r="E27" s="651"/>
      <c r="F27" s="651" t="s">
        <v>11</v>
      </c>
      <c r="G27" s="651"/>
      <c r="H27" s="651"/>
      <c r="I27" s="13"/>
      <c r="J27" s="10"/>
      <c r="T27" s="35"/>
      <c r="U27" s="35"/>
      <c r="AD27" s="34"/>
      <c r="AE27" s="35"/>
      <c r="AF27" s="35"/>
      <c r="AG27" s="35"/>
      <c r="AH27" s="35"/>
      <c r="AI27" s="35"/>
    </row>
    <row r="28" spans="1:37">
      <c r="A28" s="650"/>
      <c r="B28" s="650"/>
      <c r="C28" s="93"/>
      <c r="D28" s="650"/>
      <c r="E28" s="650"/>
      <c r="F28" s="650"/>
      <c r="G28" s="650"/>
      <c r="H28" s="650"/>
      <c r="I28" s="13"/>
      <c r="J28" s="10"/>
      <c r="T28" s="35"/>
      <c r="U28" s="35"/>
      <c r="AD28" s="34"/>
      <c r="AE28" s="35"/>
      <c r="AF28" s="35"/>
      <c r="AG28" s="35"/>
      <c r="AH28" s="35"/>
      <c r="AI28" s="35"/>
    </row>
    <row r="29" spans="1:37" ht="99" customHeight="1">
      <c r="A29" s="659" t="s">
        <v>102</v>
      </c>
      <c r="B29" s="659"/>
      <c r="C29" s="91" t="s">
        <v>108</v>
      </c>
      <c r="D29" s="659" t="s">
        <v>100</v>
      </c>
      <c r="E29" s="659"/>
      <c r="F29" s="659" t="s">
        <v>12</v>
      </c>
      <c r="G29" s="659"/>
      <c r="H29" s="659"/>
      <c r="I29" s="13"/>
      <c r="J29" s="10"/>
      <c r="T29" s="35"/>
      <c r="U29" s="35"/>
      <c r="AD29" s="34"/>
      <c r="AE29" s="35"/>
      <c r="AF29" s="35"/>
      <c r="AG29" s="35"/>
      <c r="AH29" s="35"/>
      <c r="AI29" s="35"/>
    </row>
    <row r="30" spans="1:37" hidden="1">
      <c r="A30" s="70"/>
      <c r="B30" s="69" t="str">
        <f>CONCATENATE(A28,C28)</f>
        <v/>
      </c>
      <c r="C30" s="71"/>
      <c r="D30" s="70"/>
      <c r="E30" s="70"/>
      <c r="F30" s="70"/>
      <c r="G30" s="70"/>
      <c r="H30" s="70"/>
      <c r="I30" s="13"/>
      <c r="J30" s="10"/>
      <c r="T30" s="35"/>
      <c r="U30" s="35"/>
      <c r="AD30" s="34"/>
      <c r="AE30" s="35"/>
      <c r="AF30" s="35"/>
      <c r="AG30" s="35"/>
      <c r="AH30" s="35"/>
      <c r="AI30" s="35"/>
    </row>
    <row r="31" spans="1:37">
      <c r="A31" s="70"/>
      <c r="B31" s="70"/>
      <c r="C31" s="71"/>
      <c r="D31" s="70"/>
      <c r="E31" s="70"/>
      <c r="F31" s="70"/>
      <c r="G31" s="70"/>
      <c r="H31" s="70"/>
      <c r="I31" s="13"/>
      <c r="J31" s="10"/>
      <c r="T31" s="35"/>
      <c r="U31" s="35"/>
      <c r="AD31" s="34"/>
      <c r="AE31" s="35"/>
      <c r="AF31" s="35"/>
      <c r="AG31" s="35"/>
      <c r="AH31" s="35"/>
      <c r="AI31" s="35"/>
    </row>
    <row r="32" spans="1:37" ht="21">
      <c r="A32" s="631" t="str">
        <f>CONCATENATE("[OPTIONAL] Alternate Flow Rate for ",A3)</f>
        <v>[OPTIONAL] Alternate Flow Rate for Product 3</v>
      </c>
      <c r="B32" s="631"/>
      <c r="C32" s="631"/>
      <c r="D32" s="631"/>
      <c r="E32" s="631"/>
      <c r="F32" s="631"/>
      <c r="G32" s="631"/>
      <c r="H32" s="631"/>
      <c r="Z32" s="34"/>
      <c r="AA32" s="35"/>
      <c r="AB32" s="35"/>
      <c r="AC32" s="35"/>
      <c r="AD32" s="35"/>
      <c r="AE32" s="35"/>
    </row>
    <row r="33" spans="1:37">
      <c r="A33" s="651" t="s">
        <v>45</v>
      </c>
      <c r="B33" s="651"/>
      <c r="C33" s="651"/>
      <c r="D33" s="651"/>
      <c r="E33" s="651"/>
      <c r="F33" s="651"/>
      <c r="G33" s="15"/>
      <c r="H33" s="14"/>
      <c r="I33" s="13"/>
      <c r="J33" s="13"/>
      <c r="K33" s="13"/>
      <c r="L33" s="10"/>
      <c r="R33" s="34"/>
      <c r="S33" s="35"/>
      <c r="T33" s="35"/>
      <c r="U33" s="35"/>
      <c r="V33" s="35"/>
      <c r="W33" s="35"/>
      <c r="AF33" s="34"/>
      <c r="AG33" s="35"/>
      <c r="AH33" s="35"/>
      <c r="AI33" s="35"/>
      <c r="AJ33" s="35"/>
      <c r="AK33" s="35"/>
    </row>
    <row r="34" spans="1:37">
      <c r="A34" s="144"/>
      <c r="B34" s="144"/>
      <c r="C34" s="144"/>
      <c r="D34" s="144"/>
      <c r="E34" s="144"/>
      <c r="F34" s="144"/>
      <c r="G34" s="15"/>
      <c r="H34" s="14"/>
      <c r="I34" s="13"/>
      <c r="J34" s="13"/>
      <c r="K34" s="13"/>
      <c r="L34" s="10"/>
      <c r="R34" s="34"/>
      <c r="S34" s="35"/>
      <c r="T34" s="35"/>
      <c r="U34" s="35"/>
      <c r="V34" s="35"/>
      <c r="W34" s="35"/>
      <c r="AF34" s="34"/>
      <c r="AG34" s="35"/>
      <c r="AH34" s="35"/>
      <c r="AI34" s="35"/>
      <c r="AJ34" s="35"/>
      <c r="AK34" s="35"/>
    </row>
    <row r="35" spans="1:37" ht="30">
      <c r="A35" s="90" t="s">
        <v>3</v>
      </c>
      <c r="B35" s="90" t="s">
        <v>3479</v>
      </c>
      <c r="C35" s="90" t="s">
        <v>32</v>
      </c>
      <c r="D35" s="90" t="s">
        <v>4</v>
      </c>
      <c r="E35" s="90" t="s">
        <v>3478</v>
      </c>
      <c r="F35" s="90" t="s">
        <v>33</v>
      </c>
      <c r="G35" s="15"/>
      <c r="H35" s="14"/>
      <c r="I35" s="13"/>
      <c r="J35" s="13"/>
      <c r="K35" s="13"/>
      <c r="L35" s="10"/>
      <c r="R35" s="34"/>
      <c r="S35" s="35"/>
      <c r="T35" s="35"/>
      <c r="U35" s="35"/>
      <c r="V35" s="35"/>
      <c r="W35" s="35"/>
      <c r="AF35" s="34"/>
      <c r="AG35" s="35"/>
      <c r="AH35" s="35"/>
      <c r="AI35" s="35"/>
      <c r="AJ35" s="35"/>
      <c r="AK35" s="35"/>
    </row>
    <row r="36" spans="1:37" hidden="1">
      <c r="A36" s="119">
        <f>A34*D7</f>
        <v>0</v>
      </c>
      <c r="B36" s="120" t="s">
        <v>109</v>
      </c>
      <c r="C36" s="73">
        <f>((B34*C34*H5)/5940)*D7</f>
        <v>0</v>
      </c>
      <c r="D36" s="119">
        <f>D34*D7</f>
        <v>0</v>
      </c>
      <c r="E36" s="120" t="s">
        <v>109</v>
      </c>
      <c r="F36" s="74">
        <f>(((G5/100)*E34*F34)/600)*D7</f>
        <v>0</v>
      </c>
      <c r="G36" s="15"/>
      <c r="H36" s="14"/>
      <c r="I36" s="13"/>
      <c r="J36" s="13"/>
      <c r="K36" s="13"/>
      <c r="L36" s="10"/>
      <c r="R36" s="34"/>
      <c r="S36" s="35"/>
      <c r="T36" s="35"/>
      <c r="U36" s="35"/>
      <c r="V36" s="35"/>
      <c r="W36" s="35"/>
      <c r="AF36" s="34"/>
      <c r="AG36" s="35"/>
      <c r="AH36" s="35"/>
      <c r="AI36" s="35"/>
      <c r="AJ36" s="35"/>
      <c r="AK36" s="35"/>
    </row>
    <row r="37" spans="1:37" hidden="1">
      <c r="A37" s="665">
        <f>MAX(A36,C36)</f>
        <v>0</v>
      </c>
      <c r="B37" s="665"/>
      <c r="C37" s="665"/>
      <c r="D37" s="666">
        <f>MAX(D36,F36)</f>
        <v>0</v>
      </c>
      <c r="E37" s="666"/>
      <c r="F37" s="666"/>
      <c r="G37" s="15"/>
      <c r="H37" s="14"/>
      <c r="I37" s="13"/>
      <c r="J37" s="13"/>
      <c r="K37" s="13"/>
      <c r="L37" s="10"/>
      <c r="R37" s="34"/>
      <c r="S37" s="35"/>
      <c r="T37" s="35"/>
      <c r="U37" s="35"/>
      <c r="V37" s="35"/>
      <c r="W37" s="35"/>
      <c r="AF37" s="34"/>
      <c r="AG37" s="35"/>
      <c r="AH37" s="35"/>
      <c r="AI37" s="35"/>
      <c r="AJ37" s="35"/>
      <c r="AK37" s="35"/>
    </row>
    <row r="38" spans="1:37">
      <c r="A38" s="665">
        <f>MAX(A37,(D37/3.7851))</f>
        <v>0</v>
      </c>
      <c r="B38" s="639"/>
      <c r="C38" s="639"/>
      <c r="D38" s="639"/>
      <c r="E38" s="639"/>
      <c r="F38" s="639"/>
      <c r="G38" s="15"/>
      <c r="H38" s="14"/>
      <c r="I38" s="13"/>
      <c r="J38" s="13"/>
      <c r="K38" s="13"/>
      <c r="L38" s="10"/>
      <c r="R38" s="34"/>
      <c r="S38" s="35"/>
      <c r="T38" s="35"/>
      <c r="U38" s="35"/>
      <c r="V38" s="35"/>
      <c r="W38" s="35"/>
      <c r="AF38" s="34"/>
      <c r="AG38" s="35"/>
      <c r="AH38" s="35"/>
      <c r="AI38" s="35"/>
      <c r="AJ38" s="35"/>
      <c r="AK38" s="35"/>
    </row>
    <row r="39" spans="1:37">
      <c r="A39" s="15"/>
      <c r="B39" s="14"/>
      <c r="C39" s="16"/>
      <c r="D39" s="16"/>
      <c r="E39" s="16"/>
      <c r="F39" s="15"/>
      <c r="G39" s="14"/>
      <c r="H39" s="14"/>
      <c r="L39" s="34"/>
      <c r="M39" s="35"/>
      <c r="N39" s="35"/>
      <c r="O39" s="35"/>
      <c r="P39" s="35"/>
      <c r="Q39" s="35"/>
      <c r="Z39" s="34"/>
      <c r="AA39" s="35"/>
      <c r="AB39" s="35"/>
      <c r="AC39" s="35"/>
      <c r="AD39" s="35"/>
      <c r="AE39" s="35"/>
    </row>
    <row r="40" spans="1:37" s="9" customFormat="1" ht="31.5">
      <c r="A40" s="657" t="str">
        <f>CONCATENATE("Implement Layout of Sections for ", A3)</f>
        <v>Implement Layout of Sections for Product 3</v>
      </c>
      <c r="B40" s="657"/>
      <c r="C40" s="657"/>
      <c r="D40" s="657"/>
      <c r="E40" s="657"/>
      <c r="F40" s="657"/>
      <c r="G40" s="657"/>
      <c r="H40" s="657"/>
    </row>
    <row r="41" spans="1:37" s="9" customFormat="1" ht="21">
      <c r="A41" s="126" t="s">
        <v>3476</v>
      </c>
      <c r="B41" s="125"/>
      <c r="C41" s="125"/>
      <c r="D41" s="125"/>
      <c r="E41" s="125"/>
      <c r="F41" s="125"/>
      <c r="G41" s="127"/>
      <c r="H41" s="128"/>
    </row>
    <row r="42" spans="1:37" s="9" customFormat="1" ht="15" customHeight="1">
      <c r="A42" s="652" t="s">
        <v>129</v>
      </c>
      <c r="B42" s="652"/>
      <c r="C42" s="652" t="s">
        <v>28</v>
      </c>
      <c r="D42" s="652" t="s">
        <v>128</v>
      </c>
      <c r="E42" s="652" t="s">
        <v>121</v>
      </c>
      <c r="F42" s="658" t="s">
        <v>3465</v>
      </c>
      <c r="G42" s="658" t="s">
        <v>3466</v>
      </c>
      <c r="H42" s="658"/>
    </row>
    <row r="43" spans="1:37" s="9" customFormat="1">
      <c r="A43" s="651" t="str">
        <f>A3</f>
        <v>Product 3</v>
      </c>
      <c r="B43" s="651"/>
      <c r="C43" s="653"/>
      <c r="D43" s="652"/>
      <c r="E43" s="652"/>
      <c r="F43" s="658"/>
      <c r="G43" s="658"/>
      <c r="H43" s="658"/>
    </row>
    <row r="44" spans="1:37" s="9" customFormat="1" ht="15" customHeight="1">
      <c r="A44" s="649" t="s">
        <v>14</v>
      </c>
      <c r="B44" s="649"/>
      <c r="C44" s="78" t="s">
        <v>127</v>
      </c>
      <c r="D44" s="652"/>
      <c r="E44" s="652"/>
      <c r="F44" s="658"/>
      <c r="G44" s="658"/>
      <c r="H44" s="658"/>
    </row>
    <row r="45" spans="1:37" ht="15.75">
      <c r="A45" s="80" t="s">
        <v>15</v>
      </c>
      <c r="B45" s="39"/>
      <c r="C45" s="78">
        <f t="shared" ref="C45:C57" si="0">B45/16</f>
        <v>0</v>
      </c>
      <c r="D45" s="78">
        <f t="shared" ref="D45:D57" si="1">C45/0.25</f>
        <v>0</v>
      </c>
      <c r="E45" s="78">
        <f t="shared" ref="E45:E57" si="2">_xlfn.CEILING.MATH(C45,0.25)</f>
        <v>0</v>
      </c>
      <c r="F45" s="79" t="str">
        <f t="shared" ref="F45:F57" si="3">IF(4-(4*(D45-TRUNC(D45,0)))=4,"",4-(4*(D45-TRUNC(D45,0))))</f>
        <v/>
      </c>
      <c r="G45" s="63" t="str">
        <f>IF(4-(4*(D45-TRUNC(D45,0)))=4,"",4-(4*(D45-TRUNC(D45,0))))</f>
        <v/>
      </c>
      <c r="H45" s="63"/>
      <c r="Y45" s="11"/>
      <c r="Z45" s="11"/>
    </row>
    <row r="46" spans="1:37" ht="15.75">
      <c r="A46" s="80" t="s">
        <v>16</v>
      </c>
      <c r="B46" s="39"/>
      <c r="C46" s="78">
        <f t="shared" si="0"/>
        <v>0</v>
      </c>
      <c r="D46" s="78">
        <f t="shared" si="1"/>
        <v>0</v>
      </c>
      <c r="E46" s="78">
        <f t="shared" si="2"/>
        <v>0</v>
      </c>
      <c r="F46" s="79" t="str">
        <f t="shared" si="3"/>
        <v/>
      </c>
      <c r="G46" s="63" t="str">
        <f t="shared" ref="G46:G57" si="4">IF(4-(4*(D46-TRUNC(D46,0)))=4,"",4-(4*(D46-TRUNC(D46,0))))</f>
        <v/>
      </c>
      <c r="H46" s="63"/>
      <c r="Y46" s="11"/>
      <c r="Z46" s="11"/>
    </row>
    <row r="47" spans="1:37" ht="15.75">
      <c r="A47" s="80" t="s">
        <v>17</v>
      </c>
      <c r="B47" s="39"/>
      <c r="C47" s="78">
        <f t="shared" si="0"/>
        <v>0</v>
      </c>
      <c r="D47" s="78">
        <f t="shared" si="1"/>
        <v>0</v>
      </c>
      <c r="E47" s="78">
        <f t="shared" si="2"/>
        <v>0</v>
      </c>
      <c r="F47" s="79" t="str">
        <f t="shared" si="3"/>
        <v/>
      </c>
      <c r="G47" s="63" t="str">
        <f t="shared" si="4"/>
        <v/>
      </c>
      <c r="H47" s="63"/>
      <c r="Y47" s="11"/>
      <c r="Z47" s="11"/>
    </row>
    <row r="48" spans="1:37" ht="15.75">
      <c r="A48" s="80" t="s">
        <v>18</v>
      </c>
      <c r="B48" s="39"/>
      <c r="C48" s="78">
        <f t="shared" si="0"/>
        <v>0</v>
      </c>
      <c r="D48" s="78">
        <f t="shared" si="1"/>
        <v>0</v>
      </c>
      <c r="E48" s="78">
        <f t="shared" si="2"/>
        <v>0</v>
      </c>
      <c r="F48" s="79" t="str">
        <f t="shared" si="3"/>
        <v/>
      </c>
      <c r="G48" s="63" t="str">
        <f t="shared" si="4"/>
        <v/>
      </c>
      <c r="H48" s="63"/>
      <c r="Y48" s="11"/>
      <c r="Z48" s="11"/>
    </row>
    <row r="49" spans="1:26" ht="15.75">
      <c r="A49" s="80" t="s">
        <v>19</v>
      </c>
      <c r="B49" s="39"/>
      <c r="C49" s="78">
        <f t="shared" si="0"/>
        <v>0</v>
      </c>
      <c r="D49" s="78">
        <f t="shared" si="1"/>
        <v>0</v>
      </c>
      <c r="E49" s="78">
        <f t="shared" si="2"/>
        <v>0</v>
      </c>
      <c r="F49" s="79" t="str">
        <f t="shared" si="3"/>
        <v/>
      </c>
      <c r="G49" s="63" t="str">
        <f t="shared" si="4"/>
        <v/>
      </c>
      <c r="H49" s="63"/>
      <c r="Y49" s="11"/>
      <c r="Z49" s="11"/>
    </row>
    <row r="50" spans="1:26" ht="15.75">
      <c r="A50" s="80" t="s">
        <v>20</v>
      </c>
      <c r="B50" s="39"/>
      <c r="C50" s="78">
        <f t="shared" si="0"/>
        <v>0</v>
      </c>
      <c r="D50" s="78">
        <f t="shared" si="1"/>
        <v>0</v>
      </c>
      <c r="E50" s="78">
        <f t="shared" si="2"/>
        <v>0</v>
      </c>
      <c r="F50" s="79" t="str">
        <f t="shared" si="3"/>
        <v/>
      </c>
      <c r="G50" s="63" t="str">
        <f t="shared" si="4"/>
        <v/>
      </c>
      <c r="H50" s="63"/>
      <c r="Y50" s="11"/>
      <c r="Z50" s="11"/>
    </row>
    <row r="51" spans="1:26" ht="15.75">
      <c r="A51" s="80" t="s">
        <v>21</v>
      </c>
      <c r="B51" s="39"/>
      <c r="C51" s="78">
        <f t="shared" si="0"/>
        <v>0</v>
      </c>
      <c r="D51" s="78">
        <f t="shared" si="1"/>
        <v>0</v>
      </c>
      <c r="E51" s="78">
        <f t="shared" si="2"/>
        <v>0</v>
      </c>
      <c r="F51" s="79" t="str">
        <f t="shared" si="3"/>
        <v/>
      </c>
      <c r="G51" s="63" t="str">
        <f t="shared" si="4"/>
        <v/>
      </c>
      <c r="H51" s="63"/>
      <c r="Y51" s="11"/>
      <c r="Z51" s="11"/>
    </row>
    <row r="52" spans="1:26" ht="15.75">
      <c r="A52" s="80" t="s">
        <v>22</v>
      </c>
      <c r="B52" s="39"/>
      <c r="C52" s="78">
        <f t="shared" si="0"/>
        <v>0</v>
      </c>
      <c r="D52" s="78">
        <f t="shared" si="1"/>
        <v>0</v>
      </c>
      <c r="E52" s="78">
        <f t="shared" si="2"/>
        <v>0</v>
      </c>
      <c r="F52" s="79" t="str">
        <f t="shared" si="3"/>
        <v/>
      </c>
      <c r="G52" s="63" t="str">
        <f t="shared" si="4"/>
        <v/>
      </c>
      <c r="H52" s="63"/>
      <c r="Y52" s="11"/>
      <c r="Z52" s="11"/>
    </row>
    <row r="53" spans="1:26" ht="15.75">
      <c r="A53" s="80" t="s">
        <v>23</v>
      </c>
      <c r="B53" s="39"/>
      <c r="C53" s="78">
        <f t="shared" si="0"/>
        <v>0</v>
      </c>
      <c r="D53" s="78">
        <f t="shared" si="1"/>
        <v>0</v>
      </c>
      <c r="E53" s="78">
        <f t="shared" si="2"/>
        <v>0</v>
      </c>
      <c r="F53" s="79" t="str">
        <f t="shared" si="3"/>
        <v/>
      </c>
      <c r="G53" s="63" t="str">
        <f t="shared" si="4"/>
        <v/>
      </c>
      <c r="H53" s="63"/>
      <c r="Y53" s="11"/>
      <c r="Z53" s="11"/>
    </row>
    <row r="54" spans="1:26" ht="15.75">
      <c r="A54" s="80" t="s">
        <v>24</v>
      </c>
      <c r="B54" s="39"/>
      <c r="C54" s="78">
        <f t="shared" si="0"/>
        <v>0</v>
      </c>
      <c r="D54" s="78">
        <f t="shared" si="1"/>
        <v>0</v>
      </c>
      <c r="E54" s="78">
        <f t="shared" si="2"/>
        <v>0</v>
      </c>
      <c r="F54" s="79" t="str">
        <f t="shared" si="3"/>
        <v/>
      </c>
      <c r="G54" s="63" t="str">
        <f t="shared" si="4"/>
        <v/>
      </c>
      <c r="H54" s="63"/>
      <c r="Y54" s="11"/>
      <c r="Z54" s="11"/>
    </row>
    <row r="55" spans="1:26" ht="15.75">
      <c r="A55" s="80" t="s">
        <v>25</v>
      </c>
      <c r="B55" s="39"/>
      <c r="C55" s="78">
        <f t="shared" si="0"/>
        <v>0</v>
      </c>
      <c r="D55" s="78">
        <f t="shared" si="1"/>
        <v>0</v>
      </c>
      <c r="E55" s="78">
        <f t="shared" si="2"/>
        <v>0</v>
      </c>
      <c r="F55" s="79" t="str">
        <f t="shared" si="3"/>
        <v/>
      </c>
      <c r="G55" s="63" t="str">
        <f t="shared" si="4"/>
        <v/>
      </c>
      <c r="H55" s="63"/>
      <c r="Y55" s="11"/>
      <c r="Z55" s="11"/>
    </row>
    <row r="56" spans="1:26" ht="15.75">
      <c r="A56" s="80" t="s">
        <v>26</v>
      </c>
      <c r="B56" s="39"/>
      <c r="C56" s="78">
        <f t="shared" si="0"/>
        <v>0</v>
      </c>
      <c r="D56" s="78">
        <f t="shared" si="1"/>
        <v>0</v>
      </c>
      <c r="E56" s="78">
        <f t="shared" si="2"/>
        <v>0</v>
      </c>
      <c r="F56" s="79" t="str">
        <f t="shared" si="3"/>
        <v/>
      </c>
      <c r="G56" s="63" t="str">
        <f t="shared" si="4"/>
        <v/>
      </c>
      <c r="H56" s="63"/>
      <c r="Y56" s="11"/>
      <c r="Z56" s="11"/>
    </row>
    <row r="57" spans="1:26" ht="15.75">
      <c r="A57" s="80" t="s">
        <v>27</v>
      </c>
      <c r="B57" s="39"/>
      <c r="C57" s="78">
        <f t="shared" si="0"/>
        <v>0</v>
      </c>
      <c r="D57" s="78">
        <f t="shared" si="1"/>
        <v>0</v>
      </c>
      <c r="E57" s="78">
        <f t="shared" si="2"/>
        <v>0</v>
      </c>
      <c r="F57" s="79" t="str">
        <f t="shared" si="3"/>
        <v/>
      </c>
      <c r="G57" s="63" t="str">
        <f t="shared" si="4"/>
        <v/>
      </c>
      <c r="H57" s="63"/>
      <c r="Y57" s="11"/>
      <c r="Z57" s="11"/>
    </row>
    <row r="58" spans="1:26" ht="15.75" customHeight="1">
      <c r="A58" s="80" t="s">
        <v>3488</v>
      </c>
      <c r="B58" s="75">
        <f>SUM(B45:B57)</f>
        <v>0</v>
      </c>
      <c r="C58" s="78">
        <f>ROUNDUP(SUM(C45:C57),0)</f>
        <v>0</v>
      </c>
      <c r="D58" s="78">
        <f>ROUNDUP(SUM(D45:D57),0)</f>
        <v>0</v>
      </c>
      <c r="E58" s="78">
        <f>ROUNDUP(SUM(E45:E57),0)</f>
        <v>0</v>
      </c>
      <c r="F58" s="79">
        <f>SUM(F45:F57)</f>
        <v>0</v>
      </c>
      <c r="G58" s="63">
        <f>SUM(G45:G57)</f>
        <v>0</v>
      </c>
      <c r="H58" s="63"/>
      <c r="Y58" s="11"/>
    </row>
    <row r="59" spans="1:26">
      <c r="A59" s="654" t="s">
        <v>3474</v>
      </c>
      <c r="B59" s="655"/>
      <c r="C59" s="655"/>
      <c r="D59" s="655"/>
      <c r="E59" s="656"/>
      <c r="F59" s="15"/>
      <c r="G59" s="15"/>
      <c r="H59" s="15"/>
      <c r="Y59" s="11"/>
    </row>
    <row r="60" spans="1:26">
      <c r="A60" s="647" t="str">
        <f>IF((E5+B58)=0,"","Do product runs match section layout?")</f>
        <v/>
      </c>
      <c r="B60" s="648"/>
      <c r="C60" s="648"/>
      <c r="D60" s="648"/>
      <c r="E60" s="36" t="str">
        <f>IF((E5+B58)=0,"",E5=B58)</f>
        <v/>
      </c>
      <c r="F60" s="15"/>
      <c r="G60" s="15"/>
      <c r="H60" s="15"/>
    </row>
    <row r="61" spans="1:26">
      <c r="A61" s="647" t="str">
        <f>IF('Flow Indicator Parts List'!$C$70=0,"","Node Usage per system (if central electronics)")</f>
        <v/>
      </c>
      <c r="B61" s="648"/>
      <c r="C61" s="648"/>
      <c r="D61" s="648"/>
      <c r="E61" s="37" t="str">
        <f>IF('Flow Indicator Parts List'!$C$70=0,"",'Flow Indicator Parts List'!$C$70)</f>
        <v/>
      </c>
      <c r="F61" s="14"/>
      <c r="G61" s="14"/>
      <c r="H61" s="14"/>
    </row>
    <row r="62" spans="1:26">
      <c r="A62" s="647" t="str">
        <f>IF('Flow Indicator Parts List'!$C$72=0,"","Node Usage per section (if split sections)")</f>
        <v/>
      </c>
      <c r="B62" s="648"/>
      <c r="C62" s="648"/>
      <c r="D62" s="648"/>
      <c r="E62" s="37" t="str">
        <f>IF('Flow Indicator Parts List'!$C$72=0,"",'Flow Indicator Parts List'!$C$72)</f>
        <v/>
      </c>
      <c r="F62" s="14"/>
      <c r="G62" s="14"/>
      <c r="H62" s="14"/>
    </row>
    <row r="63" spans="1:26">
      <c r="A63" s="660" t="str">
        <f>IF('Flow Indicator Parts List'!$C$69=0,"","Estimate for Extension Harnesses (split sections)")</f>
        <v/>
      </c>
      <c r="B63" s="661"/>
      <c r="C63" s="661"/>
      <c r="D63" s="661"/>
      <c r="E63" s="38" t="str">
        <f>IF('Flow Indicator Parts List'!$C$69=0,"",ROUNDUP('Flow Indicator Parts List'!$C$69,0))</f>
        <v/>
      </c>
      <c r="F63" s="14"/>
      <c r="G63" s="14"/>
      <c r="H63" s="14"/>
    </row>
    <row r="64" spans="1:26">
      <c r="A64" s="14"/>
      <c r="B64" s="14"/>
      <c r="C64" s="14"/>
      <c r="D64" s="14"/>
      <c r="E64" s="14"/>
      <c r="F64" s="14"/>
      <c r="G64" s="14"/>
      <c r="H64" s="14"/>
    </row>
    <row r="65" spans="1:11">
      <c r="A65" s="14"/>
      <c r="B65" s="14"/>
      <c r="C65" s="14"/>
      <c r="D65" s="14"/>
      <c r="E65" s="14"/>
      <c r="F65" s="14"/>
      <c r="G65" s="14"/>
      <c r="H65" s="14"/>
    </row>
    <row r="66" spans="1:11">
      <c r="A66" s="14"/>
      <c r="B66" s="14"/>
      <c r="C66" s="14"/>
      <c r="D66" s="14"/>
      <c r="E66" s="14"/>
      <c r="F66" s="14"/>
      <c r="G66" s="14"/>
      <c r="H66" s="14"/>
    </row>
    <row r="67" spans="1:11">
      <c r="A67" s="14"/>
      <c r="B67" s="14"/>
      <c r="C67" s="14"/>
      <c r="D67" s="14"/>
      <c r="E67" s="14"/>
      <c r="F67" s="14"/>
      <c r="G67" s="14"/>
      <c r="H67" s="14"/>
    </row>
    <row r="68" spans="1:11">
      <c r="A68" s="14"/>
      <c r="B68" s="14"/>
      <c r="C68" s="14"/>
      <c r="D68" s="14"/>
      <c r="E68" s="14"/>
      <c r="F68" s="14"/>
      <c r="G68" s="14"/>
      <c r="H68" s="14"/>
      <c r="I68" s="12"/>
      <c r="J68" s="12"/>
      <c r="K68" s="12"/>
    </row>
    <row r="69" spans="1:11" ht="21">
      <c r="A69" s="631" t="str">
        <f>CONCATENATE("Metering Orifice Selection for ",A3,"*")</f>
        <v>Metering Orifice Selection for Product 3*</v>
      </c>
      <c r="B69" s="631"/>
      <c r="C69" s="631"/>
      <c r="D69" s="631"/>
      <c r="E69" s="631"/>
      <c r="F69" s="631"/>
      <c r="G69" s="631"/>
      <c r="H69" s="631"/>
    </row>
    <row r="70" spans="1:11">
      <c r="A70" s="632" t="s">
        <v>3486</v>
      </c>
      <c r="B70" s="632"/>
      <c r="C70" s="633" t="s">
        <v>3487</v>
      </c>
      <c r="D70" s="634"/>
      <c r="E70" s="639" t="s">
        <v>3489</v>
      </c>
      <c r="F70" s="640"/>
      <c r="G70" s="641" t="str">
        <f>IF(A38=0,"","RATE 2")</f>
        <v/>
      </c>
      <c r="H70" s="642"/>
    </row>
    <row r="71" spans="1:11">
      <c r="A71" s="632"/>
      <c r="B71" s="632"/>
      <c r="C71" s="635"/>
      <c r="D71" s="636"/>
      <c r="E71" s="643">
        <f>A16</f>
        <v>0</v>
      </c>
      <c r="F71" s="644"/>
      <c r="G71" s="645" t="str">
        <f>IF(A38=0,"",A38)</f>
        <v/>
      </c>
      <c r="H71" s="646"/>
    </row>
    <row r="72" spans="1:11" ht="30">
      <c r="A72" s="632"/>
      <c r="B72" s="632"/>
      <c r="C72" s="637"/>
      <c r="D72" s="638"/>
      <c r="E72" s="113" t="s">
        <v>3490</v>
      </c>
      <c r="F72" s="114" t="s">
        <v>3491</v>
      </c>
      <c r="G72" s="111" t="str">
        <f>IF(A38=0,"","Pres. (PSI)")</f>
        <v/>
      </c>
      <c r="H72" s="112" t="str">
        <f>IF(A38=0,"","Pres. (BAR)")</f>
        <v/>
      </c>
    </row>
    <row r="73" spans="1:11" ht="15.75" thickBot="1">
      <c r="A73" s="628">
        <v>3.0000000000000001E-3</v>
      </c>
      <c r="B73" s="628"/>
      <c r="C73" s="686" t="s">
        <v>3493</v>
      </c>
      <c r="D73" s="687"/>
      <c r="E73" s="121" t="str">
        <f>IF(AND(((POWER($A$16,2)*POWER((1/$A73),2)*40)&gt;10),((POWER($A$16,2)*POWER((1/$A73),2)*40)&lt;80)),(POWER($A$16,2)*POWER((1/$A73),2)*40),"")</f>
        <v/>
      </c>
      <c r="F73" s="122" t="str">
        <f>IF(ISNUMBER(E73),E73*0.0689476,"")</f>
        <v/>
      </c>
      <c r="G73" s="123" t="str">
        <f>IF($A$38&lt;0.01,"",IF(AND(((POWER($A$38,2)*POWER((1/$A73),2)*40)&gt;10),((POWER($A$38,2)*POWER((1/$A73),2)*40)&lt;80)),(POWER($A$38,2)*POWER((1/$A73),2)*40),""))</f>
        <v/>
      </c>
      <c r="H73" s="124" t="str">
        <f>IF($A$38=0,"",IF(ISNUMBER(G73),G73*0.0689476,""))</f>
        <v/>
      </c>
    </row>
    <row r="74" spans="1:11" ht="15.75" thickBot="1">
      <c r="A74" s="629">
        <v>5.0000000000000001E-3</v>
      </c>
      <c r="B74" s="629"/>
      <c r="C74" s="685" t="s">
        <v>3494</v>
      </c>
      <c r="D74" s="610"/>
      <c r="E74" s="121" t="str">
        <f t="shared" ref="E74:E90" si="5">IF(AND(((POWER($A$16,2)*POWER((1/$A74),2)*40)&gt;10),((POWER($A$16,2)*POWER((1/$A74),2)*40)&lt;80)),(POWER($A$16,2)*POWER((1/$A74),2)*40),"")</f>
        <v/>
      </c>
      <c r="F74" s="122" t="str">
        <f t="shared" ref="F74:F90" si="6">IF(ISNUMBER(E74),E74*0.0689476,"")</f>
        <v/>
      </c>
      <c r="G74" s="123" t="str">
        <f>IF($A$38&lt;0.01,"",IF(AND(((POWER($A$38,2)*POWER((1/$A74),2)*40)&gt;10),((POWER($A$38,2)*POWER((1/$A74),2)*40)&lt;80)),(POWER($A$38,2)*POWER((1/$A74),2)*40),""))</f>
        <v/>
      </c>
      <c r="H74" s="124" t="str">
        <f t="shared" ref="H74:H90" si="7">IF($A$38=0,"",IF(ISNUMBER(G74),G74*0.0689476,""))</f>
        <v/>
      </c>
    </row>
    <row r="75" spans="1:11" ht="15.75" thickBot="1">
      <c r="A75" s="630">
        <v>6.7000000000000004E-2</v>
      </c>
      <c r="B75" s="630"/>
      <c r="C75" s="685" t="s">
        <v>3495</v>
      </c>
      <c r="D75" s="610"/>
      <c r="E75" s="121" t="str">
        <f t="shared" si="5"/>
        <v/>
      </c>
      <c r="F75" s="122" t="str">
        <f t="shared" si="6"/>
        <v/>
      </c>
      <c r="G75" s="123" t="str">
        <f t="shared" ref="G75:G90" si="8">IF($A$38&lt;0.01,"",IF(AND(((POWER($A$38,2)*POWER((1/$A75),2)*40)&gt;10),((POWER($A$38,2)*POWER((1/$A75),2)*40)&lt;80)),(POWER($A$38,2)*POWER((1/$A75),2)*40),""))</f>
        <v/>
      </c>
      <c r="H75" s="124" t="str">
        <f t="shared" si="7"/>
        <v/>
      </c>
    </row>
    <row r="76" spans="1:11" ht="15.75" thickBot="1">
      <c r="A76" s="625">
        <v>0.1</v>
      </c>
      <c r="B76" s="625"/>
      <c r="C76" s="685" t="s">
        <v>3496</v>
      </c>
      <c r="D76" s="610"/>
      <c r="E76" s="121" t="str">
        <f t="shared" si="5"/>
        <v/>
      </c>
      <c r="F76" s="122" t="str">
        <f t="shared" si="6"/>
        <v/>
      </c>
      <c r="G76" s="123" t="str">
        <f t="shared" si="8"/>
        <v/>
      </c>
      <c r="H76" s="124" t="str">
        <f t="shared" si="7"/>
        <v/>
      </c>
    </row>
    <row r="77" spans="1:11" ht="15.75" thickBot="1">
      <c r="A77" s="626">
        <v>0.15</v>
      </c>
      <c r="B77" s="626"/>
      <c r="C77" s="685" t="s">
        <v>3497</v>
      </c>
      <c r="D77" s="610"/>
      <c r="E77" s="121" t="str">
        <f>IF(AND(((POWER($A$16,2)*POWER((1/$A77),2)*40)&gt;10),((POWER($A$16,2)*POWER((1/$A77),2)*40)&lt;80)),(POWER($A$16,2)*POWER((1/$A77),2)*40),"")</f>
        <v/>
      </c>
      <c r="F77" s="122" t="str">
        <f t="shared" si="6"/>
        <v/>
      </c>
      <c r="G77" s="123" t="str">
        <f t="shared" si="8"/>
        <v/>
      </c>
      <c r="H77" s="124" t="str">
        <f t="shared" si="7"/>
        <v/>
      </c>
    </row>
    <row r="78" spans="1:11" ht="15.75" thickBot="1">
      <c r="A78" s="627">
        <v>0.2</v>
      </c>
      <c r="B78" s="627"/>
      <c r="C78" s="685" t="s">
        <v>3498</v>
      </c>
      <c r="D78" s="610"/>
      <c r="E78" s="121" t="str">
        <f t="shared" si="5"/>
        <v/>
      </c>
      <c r="F78" s="122" t="str">
        <f t="shared" si="6"/>
        <v/>
      </c>
      <c r="G78" s="123" t="str">
        <f t="shared" si="8"/>
        <v/>
      </c>
      <c r="H78" s="124" t="str">
        <f t="shared" si="7"/>
        <v/>
      </c>
    </row>
    <row r="79" spans="1:11" ht="15.75" thickBot="1">
      <c r="A79" s="622">
        <v>0.25</v>
      </c>
      <c r="B79" s="622"/>
      <c r="C79" s="685" t="s">
        <v>3499</v>
      </c>
      <c r="D79" s="610"/>
      <c r="E79" s="121" t="str">
        <f t="shared" si="5"/>
        <v/>
      </c>
      <c r="F79" s="122" t="str">
        <f t="shared" si="6"/>
        <v/>
      </c>
      <c r="G79" s="123" t="str">
        <f t="shared" si="8"/>
        <v/>
      </c>
      <c r="H79" s="124" t="str">
        <f t="shared" si="7"/>
        <v/>
      </c>
    </row>
    <row r="80" spans="1:11" ht="15.75" thickBot="1">
      <c r="A80" s="623">
        <v>0.3</v>
      </c>
      <c r="B80" s="623"/>
      <c r="C80" s="685" t="s">
        <v>3500</v>
      </c>
      <c r="D80" s="610"/>
      <c r="E80" s="121" t="str">
        <f t="shared" si="5"/>
        <v/>
      </c>
      <c r="F80" s="122" t="str">
        <f t="shared" si="6"/>
        <v/>
      </c>
      <c r="G80" s="123" t="str">
        <f t="shared" si="8"/>
        <v/>
      </c>
      <c r="H80" s="124" t="str">
        <f t="shared" si="7"/>
        <v/>
      </c>
    </row>
    <row r="81" spans="1:8" ht="15.75" thickBot="1">
      <c r="A81" s="624">
        <v>0.4</v>
      </c>
      <c r="B81" s="624"/>
      <c r="C81" s="685" t="s">
        <v>3501</v>
      </c>
      <c r="D81" s="610"/>
      <c r="E81" s="121" t="str">
        <f t="shared" si="5"/>
        <v/>
      </c>
      <c r="F81" s="122" t="str">
        <f t="shared" si="6"/>
        <v/>
      </c>
      <c r="G81" s="123" t="str">
        <f t="shared" si="8"/>
        <v/>
      </c>
      <c r="H81" s="124" t="str">
        <f t="shared" si="7"/>
        <v/>
      </c>
    </row>
    <row r="82" spans="1:8" ht="15.75" thickBot="1">
      <c r="A82" s="618">
        <v>0.5</v>
      </c>
      <c r="B82" s="619"/>
      <c r="C82" s="685" t="s">
        <v>3502</v>
      </c>
      <c r="D82" s="610"/>
      <c r="E82" s="121" t="str">
        <f t="shared" si="5"/>
        <v/>
      </c>
      <c r="F82" s="122" t="str">
        <f t="shared" si="6"/>
        <v/>
      </c>
      <c r="G82" s="123" t="str">
        <f t="shared" si="8"/>
        <v/>
      </c>
      <c r="H82" s="124" t="str">
        <f t="shared" si="7"/>
        <v/>
      </c>
    </row>
    <row r="83" spans="1:8" ht="15.75" thickBot="1">
      <c r="A83" s="620">
        <v>0.6</v>
      </c>
      <c r="B83" s="620"/>
      <c r="C83" s="685" t="s">
        <v>3503</v>
      </c>
      <c r="D83" s="610"/>
      <c r="E83" s="121" t="str">
        <f t="shared" si="5"/>
        <v/>
      </c>
      <c r="F83" s="122" t="str">
        <f t="shared" si="6"/>
        <v/>
      </c>
      <c r="G83" s="123" t="str">
        <f t="shared" si="8"/>
        <v/>
      </c>
      <c r="H83" s="124" t="str">
        <f t="shared" si="7"/>
        <v/>
      </c>
    </row>
    <row r="84" spans="1:8" ht="15.75" thickBot="1">
      <c r="A84" s="621">
        <v>0.8</v>
      </c>
      <c r="B84" s="621"/>
      <c r="C84" s="685" t="s">
        <v>3504</v>
      </c>
      <c r="D84" s="610"/>
      <c r="E84" s="121" t="str">
        <f t="shared" si="5"/>
        <v/>
      </c>
      <c r="F84" s="122" t="str">
        <f t="shared" si="6"/>
        <v/>
      </c>
      <c r="G84" s="123" t="str">
        <f t="shared" si="8"/>
        <v/>
      </c>
      <c r="H84" s="124" t="str">
        <f t="shared" si="7"/>
        <v/>
      </c>
    </row>
    <row r="85" spans="1:8" ht="15.75" thickBot="1">
      <c r="A85" s="615">
        <v>1</v>
      </c>
      <c r="B85" s="615"/>
      <c r="C85" s="685" t="s">
        <v>3505</v>
      </c>
      <c r="D85" s="610"/>
      <c r="E85" s="121" t="str">
        <f t="shared" si="5"/>
        <v/>
      </c>
      <c r="F85" s="122" t="str">
        <f t="shared" si="6"/>
        <v/>
      </c>
      <c r="G85" s="123" t="str">
        <f t="shared" si="8"/>
        <v/>
      </c>
      <c r="H85" s="124" t="str">
        <f t="shared" si="7"/>
        <v/>
      </c>
    </row>
    <row r="86" spans="1:8" ht="15.75" thickBot="1">
      <c r="A86" s="616">
        <v>1.25</v>
      </c>
      <c r="B86" s="616"/>
      <c r="C86" s="685" t="s">
        <v>3506</v>
      </c>
      <c r="D86" s="610"/>
      <c r="E86" s="121" t="str">
        <f t="shared" si="5"/>
        <v/>
      </c>
      <c r="F86" s="122" t="str">
        <f t="shared" si="6"/>
        <v/>
      </c>
      <c r="G86" s="123" t="str">
        <f t="shared" si="8"/>
        <v/>
      </c>
      <c r="H86" s="124" t="str">
        <f t="shared" si="7"/>
        <v/>
      </c>
    </row>
    <row r="87" spans="1:8" ht="15.75" thickBot="1">
      <c r="A87" s="617">
        <v>1.5</v>
      </c>
      <c r="B87" s="617"/>
      <c r="C87" s="685" t="s">
        <v>3507</v>
      </c>
      <c r="D87" s="610"/>
      <c r="E87" s="121" t="str">
        <f t="shared" si="5"/>
        <v/>
      </c>
      <c r="F87" s="122" t="str">
        <f t="shared" si="6"/>
        <v/>
      </c>
      <c r="G87" s="123" t="str">
        <f t="shared" si="8"/>
        <v/>
      </c>
      <c r="H87" s="124" t="str">
        <f t="shared" si="7"/>
        <v/>
      </c>
    </row>
    <row r="88" spans="1:8" ht="15.75" thickBot="1">
      <c r="A88" s="609">
        <v>2</v>
      </c>
      <c r="B88" s="609"/>
      <c r="C88" s="685" t="s">
        <v>3508</v>
      </c>
      <c r="D88" s="610"/>
      <c r="E88" s="121" t="str">
        <f t="shared" si="5"/>
        <v/>
      </c>
      <c r="F88" s="122" t="str">
        <f t="shared" si="6"/>
        <v/>
      </c>
      <c r="G88" s="123" t="str">
        <f t="shared" si="8"/>
        <v/>
      </c>
      <c r="H88" s="124" t="str">
        <f t="shared" si="7"/>
        <v/>
      </c>
    </row>
    <row r="89" spans="1:8" ht="15.75" thickBot="1">
      <c r="A89" s="612">
        <v>2.5</v>
      </c>
      <c r="B89" s="612"/>
      <c r="C89" s="685" t="s">
        <v>3509</v>
      </c>
      <c r="D89" s="610"/>
      <c r="E89" s="121" t="str">
        <f t="shared" si="5"/>
        <v/>
      </c>
      <c r="F89" s="122" t="str">
        <f t="shared" si="6"/>
        <v/>
      </c>
      <c r="G89" s="123" t="str">
        <f t="shared" si="8"/>
        <v/>
      </c>
      <c r="H89" s="124" t="str">
        <f t="shared" si="7"/>
        <v/>
      </c>
    </row>
    <row r="90" spans="1:8">
      <c r="A90" s="612">
        <v>3</v>
      </c>
      <c r="B90" s="613"/>
      <c r="C90" s="685" t="s">
        <v>3510</v>
      </c>
      <c r="D90" s="610"/>
      <c r="E90" s="121" t="str">
        <f t="shared" si="5"/>
        <v/>
      </c>
      <c r="F90" s="122" t="str">
        <f t="shared" si="6"/>
        <v/>
      </c>
      <c r="G90" s="123" t="str">
        <f t="shared" si="8"/>
        <v/>
      </c>
      <c r="H90" s="124" t="str">
        <f t="shared" si="7"/>
        <v/>
      </c>
    </row>
    <row r="91" spans="1:8">
      <c r="A91" s="8" t="s">
        <v>3492</v>
      </c>
      <c r="C91" s="14"/>
      <c r="D91" s="14"/>
      <c r="E91" s="14"/>
      <c r="F91" s="14"/>
      <c r="G91" s="14"/>
      <c r="H91" s="14"/>
    </row>
    <row r="92" spans="1:8">
      <c r="A92" s="14"/>
      <c r="B92" s="14"/>
      <c r="C92" s="14"/>
      <c r="D92" s="14"/>
      <c r="E92" s="14"/>
      <c r="F92" s="14"/>
      <c r="G92" s="14"/>
      <c r="H92" s="14"/>
    </row>
    <row r="93" spans="1:8">
      <c r="A93" s="14"/>
      <c r="B93" s="14"/>
      <c r="C93" s="14"/>
      <c r="D93" s="14"/>
      <c r="E93" s="14"/>
      <c r="F93" s="14"/>
      <c r="G93" s="14"/>
      <c r="H93" s="14"/>
    </row>
    <row r="94" spans="1:8" ht="45.75" customHeight="1">
      <c r="A94" s="605" t="str">
        <f>CONCATENATE("Metering Orifice Selection Based on Options for ",A3," based on optimal pressures @ ",ROUND(E71,2)," us gpm:")</f>
        <v>Metering Orifice Selection Based on Options for Product 3 based on optimal pressures @ 0 us gpm:</v>
      </c>
      <c r="B94" s="605"/>
      <c r="C94" s="605"/>
      <c r="D94" s="605"/>
      <c r="E94" s="604"/>
      <c r="F94" s="604"/>
      <c r="G94" s="14"/>
      <c r="H94" s="14"/>
    </row>
    <row r="95" spans="1:8" ht="45.75" customHeight="1">
      <c r="A95" s="606" t="str">
        <f>IF(A38=0,"",CONCATENATE("Metering Orifice Selection Based on Options for ",A4," based on optimal pressures @ ",ROUND(G71,2)," us gpm:"))</f>
        <v/>
      </c>
      <c r="B95" s="607"/>
      <c r="C95" s="607"/>
      <c r="D95" s="607"/>
      <c r="E95" s="608"/>
      <c r="F95" s="608"/>
      <c r="G95" s="14"/>
      <c r="H95" s="14"/>
    </row>
    <row r="96" spans="1:8">
      <c r="A96" s="14"/>
      <c r="B96" s="14"/>
      <c r="C96" s="14"/>
      <c r="D96" s="14"/>
      <c r="E96" s="14"/>
      <c r="F96" s="14"/>
      <c r="G96" s="14"/>
      <c r="H96" s="14"/>
    </row>
    <row r="97" spans="1:8" ht="9.75" customHeight="1">
      <c r="A97" s="14"/>
      <c r="B97" s="14"/>
      <c r="C97" s="14"/>
      <c r="D97" s="14"/>
      <c r="E97" s="14"/>
      <c r="F97" s="14"/>
      <c r="G97" s="14"/>
      <c r="H97" s="14"/>
    </row>
    <row r="98" spans="1:8">
      <c r="A98" s="14"/>
      <c r="B98" s="14"/>
      <c r="C98" s="14"/>
      <c r="D98" s="14"/>
      <c r="E98" s="14"/>
      <c r="F98" s="14"/>
      <c r="G98" s="14"/>
      <c r="H98" s="14"/>
    </row>
    <row r="99" spans="1:8">
      <c r="A99" s="14"/>
      <c r="B99" s="14"/>
      <c r="C99" s="14"/>
      <c r="D99" s="14"/>
      <c r="E99" s="14"/>
      <c r="F99" s="14"/>
      <c r="G99" s="14"/>
      <c r="H99" s="14"/>
    </row>
    <row r="100" spans="1:8">
      <c r="A100" s="14"/>
      <c r="B100" s="14"/>
      <c r="C100" s="14"/>
      <c r="D100" s="14"/>
      <c r="E100" s="14"/>
      <c r="F100" s="14"/>
      <c r="G100" s="14"/>
      <c r="H100" s="14"/>
    </row>
    <row r="107" spans="1:8" ht="9" customHeight="1"/>
    <row r="108" spans="1:8" collapsed="1"/>
    <row r="117" collapsed="1"/>
  </sheetData>
  <sheetProtection sheet="1" selectLockedCells="1"/>
  <mergeCells count="108">
    <mergeCell ref="K16:K17"/>
    <mergeCell ref="L16:L17"/>
    <mergeCell ref="G10:H10"/>
    <mergeCell ref="G11:H11"/>
    <mergeCell ref="G12:H17"/>
    <mergeCell ref="I10:J11"/>
    <mergeCell ref="I16:I17"/>
    <mergeCell ref="J16:J17"/>
    <mergeCell ref="A25:H25"/>
    <mergeCell ref="A18:H18"/>
    <mergeCell ref="A19:E19"/>
    <mergeCell ref="F19:H19"/>
    <mergeCell ref="A20:B20"/>
    <mergeCell ref="D20:E20"/>
    <mergeCell ref="F20:H20"/>
    <mergeCell ref="A16:F16"/>
    <mergeCell ref="A26:E26"/>
    <mergeCell ref="F26:H26"/>
    <mergeCell ref="A27:B27"/>
    <mergeCell ref="D27:E27"/>
    <mergeCell ref="F27:H27"/>
    <mergeCell ref="A21:B21"/>
    <mergeCell ref="D21:E21"/>
    <mergeCell ref="F21:H21"/>
    <mergeCell ref="A22:B22"/>
    <mergeCell ref="D22:E22"/>
    <mergeCell ref="F22:H22"/>
    <mergeCell ref="A2:H2"/>
    <mergeCell ref="B3:D3"/>
    <mergeCell ref="B4:D4"/>
    <mergeCell ref="G4:H4"/>
    <mergeCell ref="A9:H9"/>
    <mergeCell ref="A10:F10"/>
    <mergeCell ref="A11:F11"/>
    <mergeCell ref="A15:C15"/>
    <mergeCell ref="D15:F15"/>
    <mergeCell ref="F29:H29"/>
    <mergeCell ref="A32:H32"/>
    <mergeCell ref="A28:B28"/>
    <mergeCell ref="D28:E28"/>
    <mergeCell ref="A37:C37"/>
    <mergeCell ref="D37:F37"/>
    <mergeCell ref="A33:F33"/>
    <mergeCell ref="F28:H28"/>
    <mergeCell ref="A29:B29"/>
    <mergeCell ref="D29:E29"/>
    <mergeCell ref="A59:E59"/>
    <mergeCell ref="A38:F38"/>
    <mergeCell ref="A40:H40"/>
    <mergeCell ref="A42:B42"/>
    <mergeCell ref="C42:C43"/>
    <mergeCell ref="D42:D44"/>
    <mergeCell ref="E42:E44"/>
    <mergeCell ref="F42:F44"/>
    <mergeCell ref="G42:H44"/>
    <mergeCell ref="A43:B43"/>
    <mergeCell ref="A44:B44"/>
    <mergeCell ref="A69:H69"/>
    <mergeCell ref="A60:D60"/>
    <mergeCell ref="A61:D61"/>
    <mergeCell ref="A62:D62"/>
    <mergeCell ref="A63:D63"/>
    <mergeCell ref="C82:D82"/>
    <mergeCell ref="A75:B75"/>
    <mergeCell ref="A76:B76"/>
    <mergeCell ref="A77:B77"/>
    <mergeCell ref="A78:B78"/>
    <mergeCell ref="E70:F70"/>
    <mergeCell ref="G70:H70"/>
    <mergeCell ref="C70:D72"/>
    <mergeCell ref="A70:B72"/>
    <mergeCell ref="E71:F71"/>
    <mergeCell ref="G71:H71"/>
    <mergeCell ref="A74:B74"/>
    <mergeCell ref="A73:B73"/>
    <mergeCell ref="C73:D73"/>
    <mergeCell ref="C74:D74"/>
    <mergeCell ref="A79:B79"/>
    <mergeCell ref="A80:B80"/>
    <mergeCell ref="A81:B81"/>
    <mergeCell ref="A82:B82"/>
    <mergeCell ref="C75:D75"/>
    <mergeCell ref="C76:D76"/>
    <mergeCell ref="C77:D77"/>
    <mergeCell ref="C78:D78"/>
    <mergeCell ref="C79:D79"/>
    <mergeCell ref="C80:D80"/>
    <mergeCell ref="C81:D81"/>
    <mergeCell ref="A84:B84"/>
    <mergeCell ref="A85:B85"/>
    <mergeCell ref="A86:B86"/>
    <mergeCell ref="A87:B87"/>
    <mergeCell ref="A88:B88"/>
    <mergeCell ref="C83:D83"/>
    <mergeCell ref="C84:D84"/>
    <mergeCell ref="C85:D85"/>
    <mergeCell ref="C86:D86"/>
    <mergeCell ref="C87:D87"/>
    <mergeCell ref="A83:B83"/>
    <mergeCell ref="A94:D94"/>
    <mergeCell ref="E94:F94"/>
    <mergeCell ref="A95:D95"/>
    <mergeCell ref="E95:F95"/>
    <mergeCell ref="A89:B89"/>
    <mergeCell ref="A90:B90"/>
    <mergeCell ref="C88:D88"/>
    <mergeCell ref="C89:D89"/>
    <mergeCell ref="C90:D90"/>
  </mergeCells>
  <conditionalFormatting sqref="A12">
    <cfRule type="expression" dxfId="74" priority="64">
      <formula>SUM($B$12:$F$12)&gt;0</formula>
    </cfRule>
  </conditionalFormatting>
  <conditionalFormatting sqref="B12:C12">
    <cfRule type="expression" dxfId="73" priority="63">
      <formula>SUM($A$12,$D$12:$F$12)&gt;0</formula>
    </cfRule>
  </conditionalFormatting>
  <conditionalFormatting sqref="D12">
    <cfRule type="expression" dxfId="72" priority="36">
      <formula>SUM($A$12:$C$12,$E$12:$F$12)&gt;0</formula>
    </cfRule>
  </conditionalFormatting>
  <conditionalFormatting sqref="E12:F12">
    <cfRule type="expression" dxfId="71" priority="30">
      <formula>SUM($A$12:$D$12)&gt;0</formula>
    </cfRule>
  </conditionalFormatting>
  <conditionalFormatting sqref="H5">
    <cfRule type="expression" dxfId="70" priority="59">
      <formula>$G$5&gt;0</formula>
    </cfRule>
  </conditionalFormatting>
  <conditionalFormatting sqref="G5">
    <cfRule type="expression" dxfId="69" priority="39">
      <formula>$H$5&gt;0</formula>
    </cfRule>
  </conditionalFormatting>
  <conditionalFormatting sqref="F19">
    <cfRule type="expression" dxfId="68" priority="58">
      <formula>($F$19&gt;0)</formula>
    </cfRule>
    <cfRule type="containsErrors" dxfId="67" priority="62">
      <formula>ISERROR(F19)</formula>
    </cfRule>
  </conditionalFormatting>
  <conditionalFormatting sqref="A5:F5">
    <cfRule type="containsBlanks" dxfId="66" priority="69">
      <formula>LEN(TRIM(A5))=0</formula>
    </cfRule>
  </conditionalFormatting>
  <conditionalFormatting sqref="E5:H5">
    <cfRule type="notContainsBlanks" dxfId="65" priority="65">
      <formula>LEN(TRIM(E5))&gt;0</formula>
    </cfRule>
  </conditionalFormatting>
  <conditionalFormatting sqref="F26">
    <cfRule type="expression" dxfId="64" priority="56">
      <formula>($F$26&gt;0)</formula>
    </cfRule>
    <cfRule type="containsErrors" dxfId="63" priority="57">
      <formula>ISERROR(F26)</formula>
    </cfRule>
  </conditionalFormatting>
  <conditionalFormatting sqref="F21">
    <cfRule type="notContainsBlanks" dxfId="62" priority="55">
      <formula>LEN(TRIM(F21))&gt;0</formula>
    </cfRule>
  </conditionalFormatting>
  <conditionalFormatting sqref="B14:C14 B36:C36">
    <cfRule type="expression" dxfId="61" priority="53">
      <formula>$C$14=0</formula>
    </cfRule>
    <cfRule type="expression" dxfId="60" priority="54">
      <formula>$C$14&gt;0</formula>
    </cfRule>
  </conditionalFormatting>
  <conditionalFormatting sqref="E14:F14 E36:F36">
    <cfRule type="expression" dxfId="59" priority="51">
      <formula>$F$14=0</formula>
    </cfRule>
    <cfRule type="expression" dxfId="58" priority="52">
      <formula>$F$14&gt;0</formula>
    </cfRule>
  </conditionalFormatting>
  <conditionalFormatting sqref="A5">
    <cfRule type="notContainsBlanks" dxfId="57" priority="60">
      <formula>LEN(TRIM(A5))&gt;0</formula>
    </cfRule>
  </conditionalFormatting>
  <conditionalFormatting sqref="D5">
    <cfRule type="expression" dxfId="56" priority="45">
      <formula>SUM($B$5:$C$5)&gt;0</formula>
    </cfRule>
  </conditionalFormatting>
  <conditionalFormatting sqref="C5:D5">
    <cfRule type="notContainsBlanks" dxfId="55" priority="50">
      <formula>LEN(TRIM(C5))&gt;0</formula>
    </cfRule>
  </conditionalFormatting>
  <conditionalFormatting sqref="B5">
    <cfRule type="expression" dxfId="54" priority="43">
      <formula>SUM($C$5:$D$5)&gt;0</formula>
    </cfRule>
    <cfRule type="notContainsBlanks" dxfId="53" priority="61">
      <formula>LEN(TRIM(B5))&gt;0</formula>
    </cfRule>
  </conditionalFormatting>
  <conditionalFormatting sqref="C5">
    <cfRule type="expression" dxfId="52" priority="44">
      <formula>SUM($B$5,$D$5)&gt;0</formula>
    </cfRule>
  </conditionalFormatting>
  <conditionalFormatting sqref="B3">
    <cfRule type="expression" dxfId="51" priority="70">
      <formula>OR(SUM($B$8:$D$8)&gt;1.3,SUM($B$8:$D$8)&lt;0.89)</formula>
    </cfRule>
  </conditionalFormatting>
  <conditionalFormatting sqref="E60">
    <cfRule type="cellIs" dxfId="50" priority="34" operator="equal">
      <formula>FALSE</formula>
    </cfRule>
    <cfRule type="expression" dxfId="49" priority="42">
      <formula>$E$60</formula>
    </cfRule>
  </conditionalFormatting>
  <conditionalFormatting sqref="A43:B43">
    <cfRule type="cellIs" dxfId="48" priority="35" operator="equal">
      <formula>FALSE</formula>
    </cfRule>
    <cfRule type="notContainsBlanks" dxfId="47" priority="41">
      <formula>LEN(TRIM(A43))&gt;0</formula>
    </cfRule>
  </conditionalFormatting>
  <conditionalFormatting sqref="A10:F10">
    <cfRule type="notContainsBlanks" dxfId="46" priority="40">
      <formula>LEN(TRIM(A10))&gt;0</formula>
    </cfRule>
  </conditionalFormatting>
  <conditionalFormatting sqref="C12">
    <cfRule type="expression" dxfId="45" priority="67">
      <formula>SUM($A$12,$D$12:$F$12)&lt;B12</formula>
    </cfRule>
  </conditionalFormatting>
  <conditionalFormatting sqref="B12">
    <cfRule type="expression" dxfId="44" priority="68">
      <formula>SUM($A$12,$D$12:$F$12)&lt;C12</formula>
    </cfRule>
  </conditionalFormatting>
  <conditionalFormatting sqref="E12">
    <cfRule type="expression" dxfId="43" priority="71">
      <formula>SUM($A$12:$D$12)&lt;F12</formula>
    </cfRule>
  </conditionalFormatting>
  <conditionalFormatting sqref="F12">
    <cfRule type="expression" dxfId="42" priority="72">
      <formula>SUM($A$12:$D$12)&lt;E12</formula>
    </cfRule>
  </conditionalFormatting>
  <conditionalFormatting sqref="G5:H5">
    <cfRule type="containsBlanks" dxfId="41" priority="66">
      <formula>LEN(TRIM(G5))=0</formula>
    </cfRule>
  </conditionalFormatting>
  <conditionalFormatting sqref="A21 C21:D21">
    <cfRule type="expression" dxfId="40" priority="79">
      <formula>AND($A$21=0,$D$21&gt;0)</formula>
    </cfRule>
  </conditionalFormatting>
  <conditionalFormatting sqref="A21">
    <cfRule type="expression" dxfId="39" priority="80">
      <formula>AND($A$21=0,$C$21&gt;0)</formula>
    </cfRule>
    <cfRule type="notContainsBlanks" dxfId="38" priority="81">
      <formula>LEN(TRIM(A21))&gt;0</formula>
    </cfRule>
  </conditionalFormatting>
  <conditionalFormatting sqref="A21 C21">
    <cfRule type="expression" dxfId="37" priority="82">
      <formula>AND($A$21&gt;0,$C$21&gt;0)</formula>
    </cfRule>
  </conditionalFormatting>
  <conditionalFormatting sqref="D21">
    <cfRule type="expression" dxfId="36" priority="83">
      <formula>AND($A$21&gt;0,$C$21&gt;0,$D$21&gt;0)</formula>
    </cfRule>
  </conditionalFormatting>
  <conditionalFormatting sqref="A28">
    <cfRule type="expression" dxfId="35" priority="84">
      <formula>AND($A$28=0,$C$28&gt;0)</formula>
    </cfRule>
    <cfRule type="notContainsBlanks" dxfId="34" priority="85">
      <formula>LEN(TRIM(A28))&gt;0</formula>
    </cfRule>
  </conditionalFormatting>
  <conditionalFormatting sqref="A28 C28">
    <cfRule type="expression" dxfId="33" priority="86">
      <formula>AND($A$28&gt;0,$C$28&gt;0)</formula>
    </cfRule>
  </conditionalFormatting>
  <conditionalFormatting sqref="D28">
    <cfRule type="expression" dxfId="32" priority="87">
      <formula>AND($A$28&gt;0,$C$28&gt;0,$D$28&gt;0)</formula>
    </cfRule>
  </conditionalFormatting>
  <conditionalFormatting sqref="A28 C28:D28">
    <cfRule type="expression" dxfId="31" priority="88">
      <formula>AND($C$28=0,$D$28&gt;0)</formula>
    </cfRule>
  </conditionalFormatting>
  <conditionalFormatting sqref="F28:H28">
    <cfRule type="notContainsBlanks" dxfId="30" priority="38">
      <formula>LEN(TRIM(F28))&gt;0</formula>
    </cfRule>
  </conditionalFormatting>
  <conditionalFormatting sqref="A12:F12">
    <cfRule type="notContainsBlanks" dxfId="29" priority="73">
      <formula>LEN(TRIM(A12))&gt;0</formula>
    </cfRule>
    <cfRule type="containsBlanks" dxfId="28" priority="74">
      <formula>LEN(TRIM(A12))=0</formula>
    </cfRule>
  </conditionalFormatting>
  <conditionalFormatting sqref="B45:B57">
    <cfRule type="expression" dxfId="27" priority="33">
      <formula>$B$45&lt;=0</formula>
    </cfRule>
  </conditionalFormatting>
  <conditionalFormatting sqref="A28:H28">
    <cfRule type="containsBlanks" dxfId="26" priority="32">
      <formula>LEN(TRIM(A28))=0</formula>
    </cfRule>
  </conditionalFormatting>
  <conditionalFormatting sqref="A21:H21">
    <cfRule type="containsBlanks" dxfId="25" priority="31">
      <formula>LEN(TRIM(A21))=0</formula>
    </cfRule>
  </conditionalFormatting>
  <conditionalFormatting sqref="G70:H70 G72:H90">
    <cfRule type="expression" dxfId="24" priority="26">
      <formula>$A$38&gt;0.001</formula>
    </cfRule>
  </conditionalFormatting>
  <conditionalFormatting sqref="E73:E90 G73:G90">
    <cfRule type="cellIs" dxfId="23" priority="25" operator="between">
      <formula>10</formula>
      <formula>60</formula>
    </cfRule>
  </conditionalFormatting>
  <conditionalFormatting sqref="F73:F90 H73:H90">
    <cfRule type="cellIs" dxfId="22" priority="24" operator="between">
      <formula>0.9</formula>
      <formula>6</formula>
    </cfRule>
  </conditionalFormatting>
  <conditionalFormatting sqref="A94:F95">
    <cfRule type="expression" dxfId="21" priority="20">
      <formula>$F$21="no"</formula>
    </cfRule>
  </conditionalFormatting>
  <conditionalFormatting sqref="A95:F95">
    <cfRule type="expression" dxfId="20" priority="21">
      <formula>ISNUMBER($G$71)</formula>
    </cfRule>
  </conditionalFormatting>
  <conditionalFormatting sqref="A34">
    <cfRule type="expression" dxfId="19" priority="13">
      <formula>SUM($B$34:$F$34)&gt;0</formula>
    </cfRule>
  </conditionalFormatting>
  <conditionalFormatting sqref="B34:C34">
    <cfRule type="expression" dxfId="18" priority="12">
      <formula>SUM($A$34,$D$34:$F$34)&gt;0</formula>
    </cfRule>
  </conditionalFormatting>
  <conditionalFormatting sqref="D34">
    <cfRule type="expression" dxfId="17" priority="11">
      <formula>SUM($A$34:$C$34,$E$34:$F$34)&gt;0</formula>
    </cfRule>
  </conditionalFormatting>
  <conditionalFormatting sqref="E34:F34">
    <cfRule type="expression" dxfId="16" priority="10">
      <formula>SUM($A$34:$D$34)&gt;0</formula>
    </cfRule>
  </conditionalFormatting>
  <conditionalFormatting sqref="C34">
    <cfRule type="expression" dxfId="15" priority="14">
      <formula>SUM($A$34,$D$34:$F$34)&lt;B34</formula>
    </cfRule>
  </conditionalFormatting>
  <conditionalFormatting sqref="B34">
    <cfRule type="expression" dxfId="14" priority="15">
      <formula>SUM($A$34,$D$34:$F$34)&lt;C34</formula>
    </cfRule>
  </conditionalFormatting>
  <conditionalFormatting sqref="E34">
    <cfRule type="expression" dxfId="13" priority="16">
      <formula>SUM($A$34:$D$34)&lt;F34</formula>
    </cfRule>
  </conditionalFormatting>
  <conditionalFormatting sqref="F34">
    <cfRule type="expression" dxfId="12" priority="17">
      <formula>SUM($A$34:$D$34)&lt;E34</formula>
    </cfRule>
  </conditionalFormatting>
  <conditionalFormatting sqref="A34:F34">
    <cfRule type="notContainsBlanks" dxfId="11" priority="18">
      <formula>LEN(TRIM(A34))&gt;0</formula>
    </cfRule>
    <cfRule type="containsBlanks" dxfId="10" priority="19">
      <formula>LEN(TRIM(A34))=0</formula>
    </cfRule>
  </conditionalFormatting>
  <conditionalFormatting sqref="G11:H11">
    <cfRule type="expression" dxfId="9" priority="7">
      <formula>AND(G11="Standard",$A$16&lt;2.7,$A$16&gt;0.07)</formula>
    </cfRule>
    <cfRule type="expression" dxfId="8" priority="8">
      <formula>AND(G11="Low Flow",$A$16&lt;0.65,$A$16&gt;0.05)</formula>
    </cfRule>
    <cfRule type="expression" dxfId="7" priority="9">
      <formula>AND(G11="Ultra Low",$A$16&lt;0.24,$A$16&gt;0.01)</formula>
    </cfRule>
  </conditionalFormatting>
  <conditionalFormatting sqref="J12:J17">
    <cfRule type="containsErrors" dxfId="6" priority="1">
      <formula>ISERROR(J12)</formula>
    </cfRule>
    <cfRule type="cellIs" dxfId="5" priority="2" operator="greaterThan">
      <formula>1.5</formula>
    </cfRule>
    <cfRule type="colorScale" priority="3">
      <colorScale>
        <cfvo type="percent" val="0"/>
        <cfvo type="percent" val="100"/>
        <color theme="5" tint="-0.249977111117893"/>
        <color rgb="FF00B050"/>
      </colorScale>
    </cfRule>
  </conditionalFormatting>
  <dataValidations count="15">
    <dataValidation type="decimal" operator="greaterThan" allowBlank="1" showInputMessage="1" showErrorMessage="1" sqref="C5:D5" xr:uid="{C0158E56-8E73-45EC-859B-B9F972B3C55A}">
      <formula1>0</formula1>
    </dataValidation>
    <dataValidation type="list" allowBlank="1" showInputMessage="1" showErrorMessage="1" promptTitle="Select Inlet Fitting Type" prompt="Select from the listing of fittings from the dropdown menu." sqref="A28" xr:uid="{39CA1185-348F-4440-9FB4-94F78243A60E}">
      <formula1>InletTypes_query</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4E70C4BD-9EF4-4F45-994B-3785B83DEB8C}">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216CB0FA-7958-4FB2-9F0D-BFCB9E63B9D2}">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5F38AE18-A2E1-4688-8122-598AB5A3D587}">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D10B2ED6-3F0D-4272-B993-39E588B3B3D1}">
      <formula1>0</formula1>
    </dataValidation>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BB58F498-BE67-4FB9-9B1A-1EC28B09FD0A}">
      <formula1>0</formula1>
    </dataValidation>
    <dataValidation type="whole" allowBlank="1" showInputMessage="1" showErrorMessage="1" sqref="B45:B57" xr:uid="{37960EE5-896C-4C52-BC88-C5873C342133}">
      <formula1>0</formula1>
      <formula2>196</formula2>
    </dataValidation>
    <dataValidation type="list" allowBlank="1" showInputMessage="1" showErrorMessage="1" promptTitle="Select Outlet Orientation" prompt="Select from the listing of orientations from the dropdown menu." sqref="C21" xr:uid="{4E35C355-D33B-451E-84AC-FE42C63901F1}">
      <formula1>INDIRECT($A$21)</formula1>
    </dataValidation>
    <dataValidation type="list" allowBlank="1" showInputMessage="1" showErrorMessage="1" promptTitle="Select Inlet Orientation" prompt="Select from the listing of orientations from the dropdown menu." sqref="C28" xr:uid="{5A1EE92C-5058-4F1E-8F94-D0C933B2F1F9}">
      <formula1>INDIRECT($A$28)</formula1>
    </dataValidation>
    <dataValidation type="list" allowBlank="1" showInputMessage="1" showErrorMessage="1" promptTitle="Select Outlet Fitting Type" prompt="Select from the listing of fittings from the dropdown menu." sqref="C21" xr:uid="{DF315A59-3C29-482F-A96F-32A5EF3F017F}">
      <formula1>INDIRECT($A$21)</formula1>
    </dataValidation>
    <dataValidation type="list" allowBlank="1" showInputMessage="1" showErrorMessage="1" promptTitle="Select Manifold Inlet Size" prompt="Select from the listing of fittings from the dropdown menu." sqref="D28:E28" xr:uid="{D1F32017-39CF-4248-A2BE-4D814A7E5C94}">
      <formula1>INDIRECT($B$30)</formula1>
    </dataValidation>
    <dataValidation type="list" allowBlank="1" showInputMessage="1" showErrorMessage="1" promptTitle="Select Outlet Size" prompt="Select from the listing of fittings from the dropdown menu." sqref="D21" xr:uid="{9D1343B6-ECBE-42C5-8332-931F0B444326}">
      <formula1>INDIRECT($B$23)</formula1>
    </dataValidation>
    <dataValidation type="list" allowBlank="1" showInputMessage="1" showErrorMessage="1" sqref="E94:F95" xr:uid="{90BEDC88-7ADF-4DF7-87D7-2D1A470A99FE}">
      <formula1>$C$73:$C$90</formula1>
    </dataValidation>
    <dataValidation type="list" allowBlank="1" showInputMessage="1" showErrorMessage="1" sqref="G11:H11" xr:uid="{5D63A2D0-6421-4600-BAFE-948386B870CA}">
      <formula1>flowcolumn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Select Outlet Fitting Type" prompt="Select from the listing of fittings from the dropdown menu." xr:uid="{34328191-96D3-488C-BD14-907B9DF31312}">
          <x14:formula1>
            <xm:f>AdministrationPage!$A$2:$A$6</xm:f>
          </x14:formula1>
          <xm:sqref>A21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CAECAD9D-1A87-49CC-A37F-E19F7A6325C2}">
          <x14:formula1>
            <xm:f>AdministrationPage!$F$2:$F$4</xm:f>
          </x14:formula1>
          <xm:sqref>F28</xm:sqref>
        </x14:dataValidation>
        <x14:dataValidation type="list" allowBlank="1" showInputMessage="1" showErrorMessage="1" promptTitle="Are metering orifices required?" prompt="Select YES or NO from pull-down chart" xr:uid="{C92E19ED-C284-47A2-AF23-308BA7C3F29F}">
          <x14:formula1>
            <xm:f>AdministrationPage!$G$2:$G$3</xm:f>
          </x14:formula1>
          <xm:sqref>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7AE2-7968-4AB9-A177-6A3B8F8475FD}">
  <dimension ref="A1:K87"/>
  <sheetViews>
    <sheetView workbookViewId="0">
      <selection activeCell="D51" sqref="D51"/>
    </sheetView>
  </sheetViews>
  <sheetFormatPr defaultRowHeight="15"/>
  <cols>
    <col min="1" max="6" width="9.140625" style="8"/>
    <col min="7" max="7" width="11" style="8" customWidth="1"/>
    <col min="8" max="8" width="9.7109375" style="8" customWidth="1"/>
    <col min="9" max="9" width="11.5703125" style="8" bestFit="1" customWidth="1"/>
    <col min="10" max="10" width="10.5703125" style="8" bestFit="1" customWidth="1"/>
    <col min="11" max="16384" width="9.140625" style="8"/>
  </cols>
  <sheetData>
    <row r="1" spans="1:10" s="459" customFormat="1" ht="15.75">
      <c r="A1" s="700" t="s">
        <v>3646</v>
      </c>
      <c r="B1" s="700"/>
      <c r="C1" s="700"/>
      <c r="D1" s="700"/>
      <c r="E1" s="700"/>
      <c r="F1" s="700"/>
      <c r="G1" s="700"/>
      <c r="H1" s="700"/>
      <c r="I1" s="700"/>
    </row>
    <row r="2" spans="1:10">
      <c r="A2" s="704" t="s">
        <v>3475</v>
      </c>
      <c r="B2" s="705"/>
      <c r="C2" s="706"/>
      <c r="D2" s="153" t="s">
        <v>151</v>
      </c>
      <c r="E2" s="451" t="str">
        <f>IF('Parts List Seperate Manifolds'!D2="",'Flow Indicator Parts List'!D2,'Parts List Seperate Manifolds'!D2)</f>
        <v>CDN$</v>
      </c>
      <c r="F2" s="154">
        <v>0</v>
      </c>
      <c r="G2" s="72" t="s">
        <v>3544</v>
      </c>
      <c r="H2" s="72"/>
      <c r="I2" s="72"/>
      <c r="J2" s="702" t="s">
        <v>3647</v>
      </c>
    </row>
    <row r="3" spans="1:10" ht="14.25" customHeight="1">
      <c r="A3" s="454"/>
      <c r="B3" s="454"/>
      <c r="C3" s="454"/>
      <c r="D3" s="454"/>
      <c r="E3" s="454"/>
      <c r="F3" s="454"/>
      <c r="G3" s="454"/>
      <c r="H3" s="455" t="str">
        <f>$D$2</f>
        <v>CDN$</v>
      </c>
      <c r="I3" s="455" t="s">
        <v>3452</v>
      </c>
      <c r="J3" s="702"/>
    </row>
    <row r="4" spans="1:10">
      <c r="A4" s="456" t="s">
        <v>139</v>
      </c>
      <c r="B4" s="456" t="s">
        <v>140</v>
      </c>
      <c r="C4" s="701" t="s">
        <v>138</v>
      </c>
      <c r="D4" s="701"/>
      <c r="E4" s="701"/>
      <c r="F4" s="701"/>
      <c r="G4" s="457"/>
      <c r="H4" s="458" t="s">
        <v>3449</v>
      </c>
      <c r="I4" s="457" t="s">
        <v>144</v>
      </c>
      <c r="J4" s="702"/>
    </row>
    <row r="5" spans="1:10">
      <c r="A5" s="47" t="str">
        <f>IF('Manifold Builder'!G54=0,"",'Manifold Builder'!G54)</f>
        <v/>
      </c>
      <c r="B5" s="86" t="str">
        <f>IF('Manifold Builder'!G54=0,"","20521-00")</f>
        <v/>
      </c>
      <c r="C5" s="52" t="str">
        <f>IF('Manifold Builder'!G54=0,"","ORS End-Caps")</f>
        <v/>
      </c>
      <c r="D5" s="52"/>
      <c r="E5" s="52"/>
      <c r="F5" s="52"/>
      <c r="G5" s="15"/>
      <c r="H5" s="53" t="str">
        <f>IF('Manifold Builder'!G54=0,"",_xlfn.XLOOKUP(B5,CurrencyModifier!A:A,CurrencyModifier!B:B))</f>
        <v/>
      </c>
      <c r="I5" s="46" t="str">
        <f t="shared" ref="I5:I10" si="0">IF(A5="","",(A5*H5))</f>
        <v/>
      </c>
      <c r="J5" s="155" t="str">
        <f>IF(I5="","",(1-$F$2)*I5)</f>
        <v/>
      </c>
    </row>
    <row r="6" spans="1:10">
      <c r="A6" s="85"/>
      <c r="B6" s="85"/>
      <c r="C6" s="55" t="str">
        <f>IF('Manifold Builder'!G54=0,"","ORS-Female end cap plugs off manifolds")</f>
        <v/>
      </c>
      <c r="D6" s="55"/>
      <c r="E6" s="55"/>
      <c r="F6" s="55"/>
      <c r="G6" s="97"/>
      <c r="H6" s="56"/>
      <c r="I6" s="50" t="str">
        <f t="shared" si="0"/>
        <v/>
      </c>
      <c r="J6" s="155" t="str">
        <f t="shared" ref="J6:J10" si="1">IF(I6="","",(1-$F$2)*I6)</f>
        <v/>
      </c>
    </row>
    <row r="7" spans="1:10">
      <c r="A7" s="47" t="str">
        <f>IF('Manifold Builder'!G56=0,"",'Manifold Builder'!G56)</f>
        <v/>
      </c>
      <c r="B7" s="86" t="str">
        <f>IF('Manifold Builder'!G56=0,"","20526-00")</f>
        <v/>
      </c>
      <c r="C7" s="52" t="str">
        <f>IF('Manifold Builder'!G56=0,"","ORS Center-Feed Tees")</f>
        <v/>
      </c>
      <c r="D7" s="52"/>
      <c r="E7" s="52"/>
      <c r="F7" s="52"/>
      <c r="G7" s="15"/>
      <c r="H7" s="53" t="str">
        <f>IF('Manifold Builder'!G56=0,"",_xlfn.XLOOKUP(B7,CurrencyModifier!A:A,CurrencyModifier!B:B))</f>
        <v/>
      </c>
      <c r="I7" s="46" t="str">
        <f t="shared" si="0"/>
        <v/>
      </c>
      <c r="J7" s="155" t="str">
        <f t="shared" si="1"/>
        <v/>
      </c>
    </row>
    <row r="8" spans="1:10">
      <c r="A8" s="85"/>
      <c r="B8" s="85"/>
      <c r="C8" s="55" t="str">
        <f>IF('Manifold Builder'!G56=0,"","ORS TEE with drillable 1/4inch NPT-F gauge port")</f>
        <v/>
      </c>
      <c r="D8" s="55"/>
      <c r="E8" s="55"/>
      <c r="F8" s="55"/>
      <c r="G8" s="97"/>
      <c r="H8" s="56"/>
      <c r="I8" s="50" t="str">
        <f t="shared" si="0"/>
        <v/>
      </c>
      <c r="J8" s="155" t="str">
        <f t="shared" si="1"/>
        <v/>
      </c>
    </row>
    <row r="9" spans="1:10">
      <c r="A9" s="40" t="str">
        <f>IF('Manifold Builder'!B52=0,"",'Manifold Builder'!B52)</f>
        <v/>
      </c>
      <c r="B9" s="460" t="str">
        <f>IF('Manifold Builder'!B52=0,"","20551-00")</f>
        <v/>
      </c>
      <c r="C9" s="703" t="str">
        <f>IF('Manifold Builder'!$B$52=0,"","ORS Check Valve, 10PSI")</f>
        <v/>
      </c>
      <c r="D9" s="703"/>
      <c r="E9" s="703"/>
      <c r="F9" s="703"/>
      <c r="G9" s="48"/>
      <c r="H9" s="45" t="str">
        <f>IF('Manifold Builder'!$B$52=0,"",_xlfn.XLOOKUP(B9,CurrencyModifier!A:A,CurrencyModifier!B:B))</f>
        <v/>
      </c>
      <c r="I9" s="42" t="str">
        <f t="shared" si="0"/>
        <v/>
      </c>
      <c r="J9" s="155" t="str">
        <f t="shared" si="1"/>
        <v/>
      </c>
    </row>
    <row r="10" spans="1:10">
      <c r="A10" s="89"/>
      <c r="B10" s="85"/>
      <c r="C10" s="707" t="str">
        <f>IF('Manifold Builder'!$B$52=0,"","Check valve with manual on/off [switch to -P4 for 4PSI]")</f>
        <v/>
      </c>
      <c r="D10" s="707"/>
      <c r="E10" s="707"/>
      <c r="F10" s="707"/>
      <c r="G10" s="707"/>
      <c r="H10" s="56"/>
      <c r="I10" s="50" t="str">
        <f t="shared" si="0"/>
        <v/>
      </c>
      <c r="J10" s="155" t="str">
        <f t="shared" si="1"/>
        <v/>
      </c>
    </row>
    <row r="11" spans="1:10" ht="13.5" customHeight="1">
      <c r="A11" s="698" t="str">
        <f>IF('Manifold Builder'!B55=0,"",CONCATENATE("Parts Specific to ",'PRODUCT 1'!A3))</f>
        <v/>
      </c>
      <c r="B11" s="698"/>
      <c r="C11" s="698"/>
      <c r="D11" s="698"/>
      <c r="E11" s="698"/>
      <c r="F11" s="698"/>
      <c r="G11" s="698"/>
      <c r="H11" s="698"/>
      <c r="I11" s="698"/>
      <c r="J11" s="155" t="str">
        <f t="shared" ref="J11:J43" si="2">IF(I11="","",(1-$F$2)*I11)</f>
        <v/>
      </c>
    </row>
    <row r="12" spans="1:10">
      <c r="A12" s="40" t="str">
        <f>IF('Manifold Builder'!B55=0,"",'Manifold Builder'!B55)</f>
        <v/>
      </c>
      <c r="B12" s="84" t="str">
        <f>IF('Manifold Builder'!$B$16=0,"",IF('PRODUCT 1'!$G$11="Ultra Low","20475-00",IF('PRODUCT 1'!$G$11="Low Flow","20470-00","20460-00")))</f>
        <v/>
      </c>
      <c r="C12" s="461" t="str">
        <f>IF('Manifold Builder'!B55=0,"",_xlfn.XLOOKUP(B12,Prices!A:A,Prices!B:B))</f>
        <v/>
      </c>
      <c r="D12" s="461"/>
      <c r="E12" s="461"/>
      <c r="F12" s="461"/>
      <c r="G12" s="48"/>
      <c r="H12" s="45" t="str">
        <f>IF('Manifold Builder'!B55=0,"",_xlfn.XLOOKUP(B12,CurrencyModifier!A:A,CurrencyModifier!B:B))</f>
        <v/>
      </c>
      <c r="I12" s="42" t="str">
        <f>IF(A12="","",(A12*H12))</f>
        <v/>
      </c>
      <c r="J12" s="155" t="str">
        <f>IF(I12="","",(1-$F$2)*I12)</f>
        <v/>
      </c>
    </row>
    <row r="13" spans="1:10">
      <c r="A13" s="453"/>
      <c r="B13" s="85"/>
      <c r="C13" s="95" t="str">
        <f>IF('Manifold Builder'!$B$52=0,"","incl. column, 4x balls, ball retainer, o-ring, 2x u-clips")</f>
        <v/>
      </c>
      <c r="D13" s="95"/>
      <c r="E13" s="95"/>
      <c r="F13" s="95"/>
      <c r="G13" s="97"/>
      <c r="H13" s="56"/>
      <c r="I13" s="50"/>
      <c r="J13" s="155" t="str">
        <f>IF(I13="","",(1-$F$2)*I13)</f>
        <v/>
      </c>
    </row>
    <row r="14" spans="1:10">
      <c r="A14" s="47" t="str">
        <f>IF('Manifold Builder'!B55=0,"",IF('PRODUCT 1'!A21="NoOutletsRequired","",'Manifold Builder'!B55))</f>
        <v/>
      </c>
      <c r="B14" s="47" t="str">
        <f>IF(A14="","",IF('PRODUCT 1'!$A$21="NoOutletsRequired","",'PRODUCT 1'!$F$19))</f>
        <v/>
      </c>
      <c r="C14" s="15" t="str">
        <f>IF(A14="","",IF('PRODUCT 1'!$A$21="NoOutletsRequired","No outlet required due to existing plumbing",_xlfn.XLOOKUP(B14,Prices!A:A,Prices!B:B)))</f>
        <v/>
      </c>
      <c r="D14" s="51"/>
      <c r="E14" s="51"/>
      <c r="F14" s="51"/>
      <c r="G14" s="15"/>
      <c r="H14" s="53" t="str">
        <f>IF(B14="NoOutletRequired","0",IF(ISNUMBER('PRODUCT 1'!$E$5),_xlfn.XLOOKUP(B14,CurrencyModifier!A:A,CurrencyModifier!B:B),""))</f>
        <v/>
      </c>
      <c r="I14" s="46" t="str">
        <f>IF(A14="","",(A14*H14))</f>
        <v/>
      </c>
      <c r="J14" s="155" t="str">
        <f t="shared" si="2"/>
        <v/>
      </c>
    </row>
    <row r="15" spans="1:10">
      <c r="A15" s="47"/>
      <c r="B15" s="47"/>
      <c r="C15" s="51" t="str">
        <f>IF(A14="","",IF('PRODUCT 1'!$A$21="NoOutletsRequired","",CONCATENATE("ORS Outlets for ",'PRODUCT 1'!A3," Manifolds")))</f>
        <v/>
      </c>
      <c r="D15" s="51"/>
      <c r="E15" s="51"/>
      <c r="F15" s="51"/>
      <c r="G15" s="15"/>
      <c r="H15" s="53"/>
      <c r="I15" s="46"/>
      <c r="J15" s="155" t="str">
        <f t="shared" si="2"/>
        <v/>
      </c>
    </row>
    <row r="16" spans="1:10">
      <c r="A16" s="40" t="str">
        <f>IF('Manifold Builder'!B56=0,"",IF('PRODUCT 1'!$A$28="NoInletRequired","",'Manifold Builder'!B56))</f>
        <v/>
      </c>
      <c r="B16" s="40" t="str">
        <f>IF(A16="","",IF('PRODUCT 1'!$A$28="NoInletRequired","",'PRODUCT 1'!$F$26))</f>
        <v/>
      </c>
      <c r="C16" s="48" t="str">
        <f>IF(A16="","",IF('PRODUCT 1'!$A$28="NoInletRequired","No inlet required due to existing plumbing",_xlfn.XLOOKUP(B16,Prices!A:A,Prices!B:B)))</f>
        <v/>
      </c>
      <c r="D16" s="44"/>
      <c r="E16" s="44"/>
      <c r="F16" s="44"/>
      <c r="G16" s="48"/>
      <c r="H16" s="45" t="str">
        <f>IF('PRODUCT 1'!$A$28="NoInletRequired","",IF(ISNUMBER('PRODUCT 1'!$E$5),_xlfn.XLOOKUP(B16,CurrencyModifier!A:A,CurrencyModifier!B:B),""))</f>
        <v/>
      </c>
      <c r="I16" s="42" t="str">
        <f>IF(A16="","",(A16*H16))</f>
        <v/>
      </c>
      <c r="J16" s="155" t="str">
        <f t="shared" si="2"/>
        <v/>
      </c>
    </row>
    <row r="17" spans="1:10">
      <c r="A17" s="89"/>
      <c r="B17" s="89"/>
      <c r="C17" s="54" t="str">
        <f>IF(A16="","",IF('PRODUCT 1'!$A$28="NoInletRequired","",CONCATENATE("ORS Inlets for ",'PRODUCT 1'!A3," Manifolds")))</f>
        <v/>
      </c>
      <c r="D17" s="54"/>
      <c r="E17" s="54"/>
      <c r="F17" s="54"/>
      <c r="G17" s="97"/>
      <c r="H17" s="56"/>
      <c r="I17" s="50"/>
      <c r="J17" s="155" t="str">
        <f t="shared" si="2"/>
        <v/>
      </c>
    </row>
    <row r="18" spans="1:10">
      <c r="A18" s="40" t="str">
        <f>IF('Manifold Builder'!B56=0,"",IF('PRODUCT 1'!$A$28="NoInletRequired","",'Manifold Builder'!B56))</f>
        <v/>
      </c>
      <c r="B18" s="40" t="str">
        <f>IF(A18="","",IF('PRODUCT 1'!$A$28="NoInletRequired","","20576-00"))</f>
        <v/>
      </c>
      <c r="C18" s="44" t="str">
        <f>IF(A18="","",IF('PRODUCT 1'!$A$28="NoInletRequired","","ORS Inline Strainer, 50 Mesh"))</f>
        <v/>
      </c>
      <c r="D18" s="44"/>
      <c r="E18" s="44"/>
      <c r="F18" s="44"/>
      <c r="G18" s="48"/>
      <c r="H18" s="45" t="str">
        <f>IF('PRODUCT 1'!$A$28="NoInletRequired","",IF(ISNUMBER('PRODUCT 1'!$E$5),_xlfn.XLOOKUP(B18,CurrencyModifier!A:A,CurrencyModifier!B:B),""))</f>
        <v/>
      </c>
      <c r="I18" s="42" t="str">
        <f>IF(A18="","",(A18*H18))</f>
        <v/>
      </c>
      <c r="J18" s="155" t="str">
        <f t="shared" si="2"/>
        <v/>
      </c>
    </row>
    <row r="19" spans="1:10">
      <c r="A19" s="89"/>
      <c r="B19" s="89"/>
      <c r="C19" s="54" t="str">
        <f>IF(A18="","",IF('PRODUCT 1'!$A$28="NoInletRequired","","[Optional - 1 per manifold inlet]"))</f>
        <v/>
      </c>
      <c r="D19" s="54"/>
      <c r="E19" s="54"/>
      <c r="F19" s="54"/>
      <c r="G19" s="97"/>
      <c r="H19" s="56"/>
      <c r="I19" s="50"/>
      <c r="J19" s="155" t="str">
        <f t="shared" si="2"/>
        <v/>
      </c>
    </row>
    <row r="20" spans="1:10">
      <c r="A20" s="40" t="str">
        <f>IF(ISNUMBER('PRODUCT 1'!$E$5),IF('PRODUCT 1'!$F$21="YES",'PRODUCT 1'!E5,""),"")</f>
        <v/>
      </c>
      <c r="B20" s="40" t="str">
        <f>IF(A20="","",IF(ISBLANK('PRODUCT 1'!E94),"21500-VXX",'PRODUCT 1'!E94))</f>
        <v/>
      </c>
      <c r="C20" s="48" t="str">
        <f>IF(A20="","",_xlfn.XLOOKUP(B20,Prices!A:A,Prices!B:B))</f>
        <v/>
      </c>
      <c r="D20" s="44"/>
      <c r="E20" s="44"/>
      <c r="F20" s="44"/>
      <c r="G20" s="48"/>
      <c r="H20" s="45" t="str">
        <f>IF(ISNUMBER('PRODUCT 1'!$F$5),LOOKUP(IF(('PRODUCT 1'!$A$16&lt;=0.15),"21500-V005","21500-V04"),CurrencyModifier!A:A,CurrencyModifier!B:B),"")</f>
        <v/>
      </c>
      <c r="I20" s="42" t="str">
        <f>IF(A20="","",(A20*H20))</f>
        <v/>
      </c>
      <c r="J20" s="155" t="str">
        <f t="shared" si="2"/>
        <v/>
      </c>
    </row>
    <row r="21" spans="1:10">
      <c r="A21" s="89"/>
      <c r="B21" s="89"/>
      <c r="C21" s="54" t="str">
        <f>IF(ISNUMBER('PRODUCT 1'!$F$5),CONCATENATE("ORS Metering Orifices for ",'PRODUCT 1'!A3," [1 per outlet]"),"")</f>
        <v/>
      </c>
      <c r="D21" s="54"/>
      <c r="E21" s="54"/>
      <c r="F21" s="54"/>
      <c r="G21" s="97"/>
      <c r="H21" s="56"/>
      <c r="I21" s="50"/>
      <c r="J21" s="155" t="str">
        <f t="shared" si="2"/>
        <v/>
      </c>
    </row>
    <row r="22" spans="1:10" ht="12.75" customHeight="1">
      <c r="A22" s="698" t="str">
        <f>IF('Manifold Builder'!B32=0,"",CONCATENATE("Parts Specific to ",'PRODUCT 2'!A3))</f>
        <v/>
      </c>
      <c r="B22" s="698"/>
      <c r="C22" s="698"/>
      <c r="D22" s="698"/>
      <c r="E22" s="698"/>
      <c r="F22" s="698"/>
      <c r="G22" s="698"/>
      <c r="H22" s="698"/>
      <c r="I22" s="698"/>
      <c r="J22" s="155" t="str">
        <f t="shared" si="2"/>
        <v/>
      </c>
    </row>
    <row r="23" spans="1:10">
      <c r="A23" s="40" t="str">
        <f>IF('Manifold Builder'!C55=0,"",'Manifold Builder'!C55)</f>
        <v/>
      </c>
      <c r="B23" s="84" t="str">
        <f>IF('Manifold Builder'!$C$55=0,"",IF('PRODUCT 2'!$G$11="Ultra Low","20475-00",IF('PRODUCT 2'!$G$11="Low Flow","20470-00","20460-00")))</f>
        <v/>
      </c>
      <c r="C23" s="461" t="str">
        <f>IF('Manifold Builder'!C55=0,"",_xlfn.XLOOKUP(B23,Prices!A:A,Prices!B:B))</f>
        <v/>
      </c>
      <c r="D23" s="461"/>
      <c r="E23" s="461"/>
      <c r="F23" s="461"/>
      <c r="G23" s="48"/>
      <c r="H23" s="45" t="str">
        <f>IF('Manifold Builder'!C55=0,"",_xlfn.XLOOKUP(B23,CurrencyModifier!A:A,CurrencyModifier!B:B))</f>
        <v/>
      </c>
      <c r="I23" s="42" t="str">
        <f>IF(A23="","",(A23*H23))</f>
        <v/>
      </c>
      <c r="J23" s="155" t="str">
        <f>IF(I23="","",(1-$F$2)*I23)</f>
        <v/>
      </c>
    </row>
    <row r="24" spans="1:10">
      <c r="A24" s="89"/>
      <c r="B24" s="85"/>
      <c r="C24" s="95" t="str">
        <f>IF('Manifold Builder'!$C$55=0,"","incl. column, 4x balls, ball retainer, o-ring, 2x u-clips")</f>
        <v/>
      </c>
      <c r="D24" s="95"/>
      <c r="E24" s="95"/>
      <c r="F24" s="95"/>
      <c r="G24" s="97"/>
      <c r="H24" s="56"/>
      <c r="I24" s="50"/>
      <c r="J24" s="155" t="str">
        <f>IF(I24="","",(1-$F$2)*I24)</f>
        <v/>
      </c>
    </row>
    <row r="25" spans="1:10">
      <c r="A25" s="47" t="str">
        <f>IF('Manifold Builder'!$C$55=0,"",IF('PRODUCT 2'!A30="NoOutletsRequired","",'Manifold Builder'!$C$55))</f>
        <v/>
      </c>
      <c r="B25" s="47" t="str">
        <f>IF(A25="","",IF('PRODUCT 2'!$A$21="NoOutletsRequired","",'PRODUCT 2'!$F$19))</f>
        <v/>
      </c>
      <c r="C25" s="15" t="str">
        <f>IF(A25="","",IF('PRODUCT 2'!$A$21="NoOutletsRequired","No outlet required due to existing plumbing",_xlfn.XLOOKUP(B25,Prices!A:A,Prices!B:B)))</f>
        <v/>
      </c>
      <c r="D25" s="44"/>
      <c r="E25" s="44"/>
      <c r="F25" s="44"/>
      <c r="G25" s="48"/>
      <c r="H25" s="45" t="str">
        <f>IF(B25="NoOutletRequired","0",IF(ISNUMBER('PRODUCT 2'!$E$5),_xlfn.XLOOKUP(B25,CurrencyModifier!A:A,CurrencyModifier!B:B),""))</f>
        <v/>
      </c>
      <c r="I25" s="42" t="str">
        <f>IF(A25="","",(A25*H25))</f>
        <v/>
      </c>
      <c r="J25" s="155" t="str">
        <f t="shared" si="2"/>
        <v/>
      </c>
    </row>
    <row r="26" spans="1:10">
      <c r="A26" s="47"/>
      <c r="B26" s="47"/>
      <c r="C26" s="51" t="str">
        <f>IF(A25="","",IF('PRODUCT 2'!$A$21="NoOutletsRequired","",CONCATENATE("ORS Outlets for ",'PRODUCT 2'!A3," Manifolds")))</f>
        <v/>
      </c>
      <c r="D26" s="54"/>
      <c r="E26" s="54"/>
      <c r="F26" s="54"/>
      <c r="G26" s="97"/>
      <c r="H26" s="56"/>
      <c r="I26" s="50"/>
      <c r="J26" s="155" t="str">
        <f t="shared" si="2"/>
        <v/>
      </c>
    </row>
    <row r="27" spans="1:10">
      <c r="A27" s="40" t="str">
        <f>IF('Manifold Builder'!$C$56=0,"",IF('PRODUCT 2'!$A$28="NoInletRequired","",'Manifold Builder'!$C$56))</f>
        <v/>
      </c>
      <c r="B27" s="40" t="str">
        <f>IF(A27="","",IF('PRODUCT 2'!$A$28="NoInletRequired","",'PRODUCT 2'!$F$26))</f>
        <v/>
      </c>
      <c r="C27" s="48" t="str">
        <f>IF(A27="","",IF('PRODUCT 2'!$A$28="NoInletRequired","No inlet required due to existing plumbing",_xlfn.XLOOKUP(B27,Prices!A:A,Prices!B:B)))</f>
        <v/>
      </c>
      <c r="D27" s="21"/>
      <c r="E27" s="21"/>
      <c r="F27" s="21"/>
      <c r="G27" s="14"/>
      <c r="H27" s="28" t="str">
        <f>IF(B27="NoInletRequired","0",IF(ISNUMBER('PRODUCT 2'!$E$5),_xlfn.XLOOKUP(B27,CurrencyModifier!A:A,CurrencyModifier!B:B),""))</f>
        <v/>
      </c>
      <c r="I27" s="25" t="str">
        <f>IF(A27="","",(A27*H27))</f>
        <v/>
      </c>
      <c r="J27" s="155" t="str">
        <f t="shared" si="2"/>
        <v/>
      </c>
    </row>
    <row r="28" spans="1:10">
      <c r="A28" s="89"/>
      <c r="B28" s="89"/>
      <c r="C28" s="54" t="str">
        <f>IF(A27="","",IF('PRODUCT 2'!$A$28="NoInletRequired","",CONCATENATE("ORS Inlets for ",'PRODUCT 2'!A3," Manifolds")))</f>
        <v/>
      </c>
      <c r="D28" s="21"/>
      <c r="E28" s="21"/>
      <c r="F28" s="21"/>
      <c r="G28" s="14"/>
      <c r="H28" s="28"/>
      <c r="I28" s="25"/>
      <c r="J28" s="155" t="str">
        <f t="shared" si="2"/>
        <v/>
      </c>
    </row>
    <row r="29" spans="1:10">
      <c r="A29" s="40" t="str">
        <f>IF('Manifold Builder'!$C$56=0,"",IF('PRODUCT 2'!$A$28="NoInletRequired","",'Manifold Builder'!$C$56))</f>
        <v/>
      </c>
      <c r="B29" s="40" t="str">
        <f>IF(A29="","",IF('PRODUCT 2'!$A$28="NoInletRequired","","20576-00"))</f>
        <v/>
      </c>
      <c r="C29" s="44" t="str">
        <f>IF(A29="","",IF('PRODUCT 2'!$A$28="NoInletRequired","","ORS Inline Strainer, 50 Mesh"))</f>
        <v/>
      </c>
      <c r="D29" s="44"/>
      <c r="E29" s="44"/>
      <c r="F29" s="44"/>
      <c r="G29" s="48"/>
      <c r="H29" s="45" t="str">
        <f>IF(ISNUMBER('PRODUCT 2'!$E$5),_xlfn.XLOOKUP(B29,CurrencyModifier!A:A,CurrencyModifier!B:B),"")</f>
        <v/>
      </c>
      <c r="I29" s="42" t="str">
        <f>IF(A29="","",(A29*H29))</f>
        <v/>
      </c>
      <c r="J29" s="155" t="str">
        <f t="shared" si="2"/>
        <v/>
      </c>
    </row>
    <row r="30" spans="1:10">
      <c r="A30" s="89"/>
      <c r="B30" s="89"/>
      <c r="C30" s="54" t="str">
        <f>IF(A29="","",IF('PRODUCT 2'!$A$28="NoInletRequired","","[Optional - 1 per manifold inlet]"))</f>
        <v/>
      </c>
      <c r="D30" s="54"/>
      <c r="E30" s="54"/>
      <c r="F30" s="54"/>
      <c r="G30" s="97"/>
      <c r="H30" s="56"/>
      <c r="I30" s="50"/>
      <c r="J30" s="155" t="str">
        <f t="shared" si="2"/>
        <v/>
      </c>
    </row>
    <row r="31" spans="1:10">
      <c r="A31" s="40" t="str">
        <f>IF(ISNUMBER($A$25),IF('PRODUCT 2'!$F$21="YES",A25,""),"")</f>
        <v/>
      </c>
      <c r="B31" s="40" t="str">
        <f>IF(A31="","",IF(ISBLANK('PRODUCT 2'!E94),"21500-VXX",'PRODUCT 2'!E94))</f>
        <v/>
      </c>
      <c r="C31" s="48" t="str">
        <f>IF(A31="","","Metering Orifice - REPLACE -XX with orifice size")</f>
        <v/>
      </c>
      <c r="D31" s="21"/>
      <c r="E31" s="21"/>
      <c r="F31" s="21"/>
      <c r="G31" s="14"/>
      <c r="H31" s="45" t="str">
        <f>IF(ISNUMBER('PRODUCT 2'!$F$5),LOOKUP(IF(('PRODUCT 2'!$A$16&lt;0.15),"21500-V005","21500-V03"),CurrencyModifier!A:A,CurrencyModifier!B:B),"")</f>
        <v/>
      </c>
      <c r="I31" s="25" t="str">
        <f>IF(A31="","",(A31*H31))</f>
        <v/>
      </c>
      <c r="J31" s="155" t="str">
        <f t="shared" si="2"/>
        <v/>
      </c>
    </row>
    <row r="32" spans="1:10">
      <c r="A32" s="89"/>
      <c r="B32" s="89"/>
      <c r="C32" s="54" t="str">
        <f>IF(ISNUMBER('PRODUCT 2'!$F$5),CONCATENATE("ORS Metering Orifices for ",'PRODUCT 2'!A3," [1 per outlet]"),"")</f>
        <v/>
      </c>
      <c r="D32" s="21"/>
      <c r="E32" s="21"/>
      <c r="F32" s="21"/>
      <c r="G32" s="14"/>
      <c r="H32" s="28"/>
      <c r="I32" s="25"/>
      <c r="J32" s="155" t="str">
        <f t="shared" si="2"/>
        <v/>
      </c>
    </row>
    <row r="33" spans="1:10" ht="14.25" customHeight="1">
      <c r="A33" s="698" t="str">
        <f>IF('Manifold Builder'!B48=0,"",CONCATENATE("Parts Specific to ",'PRODUCT 3'!A3))</f>
        <v/>
      </c>
      <c r="B33" s="698"/>
      <c r="C33" s="698"/>
      <c r="D33" s="698"/>
      <c r="E33" s="698"/>
      <c r="F33" s="698"/>
      <c r="G33" s="698"/>
      <c r="H33" s="698"/>
      <c r="I33" s="698"/>
      <c r="J33" s="155" t="str">
        <f t="shared" si="2"/>
        <v/>
      </c>
    </row>
    <row r="34" spans="1:10">
      <c r="A34" s="40" t="str">
        <f>IF('Manifold Builder'!E55=0,"",'Manifold Builder'!E55)</f>
        <v/>
      </c>
      <c r="B34" s="84" t="str">
        <f>IF('Manifold Builder'!$E$55=0,"",IF('PRODUCT 3'!$G$11="Ultra Low","20475-00",IF('PRODUCT 3'!$G$11="Low Flow","20470-00","20460-00")))</f>
        <v/>
      </c>
      <c r="C34" s="461" t="str">
        <f>IF('Manifold Builder'!E55=0,"",_xlfn.XLOOKUP(B34,Prices!A:A,Prices!B:B))</f>
        <v/>
      </c>
      <c r="D34" s="461"/>
      <c r="E34" s="461"/>
      <c r="F34" s="461"/>
      <c r="G34" s="48"/>
      <c r="H34" s="45" t="str">
        <f>IF('Manifold Builder'!E55=0,"",_xlfn.XLOOKUP(B34,CurrencyModifier!A:A,CurrencyModifier!B:B))</f>
        <v/>
      </c>
      <c r="I34" s="42" t="str">
        <f>IF(A34="","",(A34*H34))</f>
        <v/>
      </c>
      <c r="J34" s="155" t="str">
        <f>IF(I34="","",(1-$F$2)*I34)</f>
        <v/>
      </c>
    </row>
    <row r="35" spans="1:10">
      <c r="A35" s="453"/>
      <c r="B35" s="85"/>
      <c r="C35" s="95" t="str">
        <f>IF('Manifold Builder'!$E$55=0,"","incl. column, 4x balls, ball retainer, o-ring, 2x u-clips")</f>
        <v/>
      </c>
      <c r="D35" s="95"/>
      <c r="E35" s="95"/>
      <c r="F35" s="95"/>
      <c r="G35" s="97"/>
      <c r="H35" s="56"/>
      <c r="I35" s="50"/>
      <c r="J35" s="155" t="str">
        <f>IF(I35="","",(1-$F$2)*I35)</f>
        <v/>
      </c>
    </row>
    <row r="36" spans="1:10">
      <c r="A36" s="47" t="str">
        <f>IF('Manifold Builder'!$C$55=0,"",IF('PRODUCT 3'!A41="NoOutletsRequired","",'Manifold Builder'!$C$55))</f>
        <v/>
      </c>
      <c r="B36" s="47" t="str">
        <f>IF(A36="","",IF('PRODUCT 3'!$A$21="NoOutletsRequired","",'PRODUCT 3'!$F$19))</f>
        <v/>
      </c>
      <c r="C36" s="15" t="str">
        <f>IF(A36="","",IF('PRODUCT 3'!$A$21="NoOutletsRequired","No outlet required due to existing plumbing",_xlfn.XLOOKUP(B36,Prices!A:A,Prices!B:B)))</f>
        <v/>
      </c>
      <c r="D36" s="44"/>
      <c r="E36" s="44"/>
      <c r="F36" s="44"/>
      <c r="G36" s="48"/>
      <c r="H36" s="45" t="str">
        <f>IF(B36="NoOutletRequired","0",IF(ISNUMBER('PRODUCT 3'!$E$5),_xlfn.XLOOKUP(B36,CurrencyModifier!A:A,CurrencyModifier!B:B),""))</f>
        <v/>
      </c>
      <c r="I36" s="42" t="str">
        <f>IF(A36="","",(A36*H36))</f>
        <v/>
      </c>
      <c r="J36" s="155" t="str">
        <f t="shared" ref="J36:J37" si="3">IF(I36="","",(1-$F$2)*I36)</f>
        <v/>
      </c>
    </row>
    <row r="37" spans="1:10">
      <c r="A37" s="47"/>
      <c r="B37" s="47"/>
      <c r="C37" s="51" t="str">
        <f>IF(A36="","",IF('PRODUCT 3'!$A$21="NoOutletsRequired","",CONCATENATE("ORS Outlets for ",'PRODUCT 3'!A14," Manifolds")))</f>
        <v/>
      </c>
      <c r="D37" s="54"/>
      <c r="E37" s="54"/>
      <c r="F37" s="54"/>
      <c r="G37" s="97"/>
      <c r="H37" s="56"/>
      <c r="I37" s="50"/>
      <c r="J37" s="155" t="str">
        <f t="shared" si="3"/>
        <v/>
      </c>
    </row>
    <row r="38" spans="1:10">
      <c r="A38" s="40" t="str">
        <f>IF('Manifold Builder'!$E$56=0,"",IF('PRODUCT 3'!$A$28="NoInletRequired","",'Manifold Builder'!$E$56))</f>
        <v/>
      </c>
      <c r="B38" s="40" t="str">
        <f>IF(A38="","",IF('PRODUCT 3'!$A$28="NoInletRequired","",'PRODUCT 3'!$F$26))</f>
        <v/>
      </c>
      <c r="C38" s="48" t="str">
        <f>IF(ISNUMBER('PRODUCT 3'!$F$5),IF(B38="NoInletRequired","No inlet required due to existing plumbing",IF(ISNUMBER('PRODUCT 3'!$F$5),_xlfn.XLOOKUP(B38,Prices!A:A,Prices!B:B),"")),"")</f>
        <v/>
      </c>
      <c r="D38" s="44"/>
      <c r="E38" s="44"/>
      <c r="F38" s="44"/>
      <c r="G38" s="48"/>
      <c r="H38" s="45" t="str">
        <f>IF(ISNUMBER('PRODUCT 3'!$F$5),IF(B38="NoInletRequired","0",IF(ISNUMBER('PRODUCT 3'!$F$5),_xlfn.XLOOKUP(B38,CurrencyModifier!A:A,CurrencyModifier!B:B),"")),"")</f>
        <v/>
      </c>
      <c r="I38" s="42" t="str">
        <f>IF(A38="","",(A38*H38))</f>
        <v/>
      </c>
      <c r="J38" s="155" t="str">
        <f t="shared" si="2"/>
        <v/>
      </c>
    </row>
    <row r="39" spans="1:10">
      <c r="A39" s="89"/>
      <c r="B39" s="89"/>
      <c r="C39" s="54" t="str">
        <f>IF(ISNUMBER('PRODUCT 3'!$F$5),CONCATENATE("ORS Inlets for ",'PRODUCT 3'!A3),"")</f>
        <v/>
      </c>
      <c r="D39" s="54"/>
      <c r="E39" s="54"/>
      <c r="F39" s="54"/>
      <c r="G39" s="97"/>
      <c r="H39" s="56"/>
      <c r="I39" s="50"/>
      <c r="J39" s="155" t="str">
        <f t="shared" si="2"/>
        <v/>
      </c>
    </row>
    <row r="40" spans="1:10">
      <c r="A40" s="40" t="str">
        <f>IF('Manifold Builder'!$E$56=0,"",IF('PRODUCT 3'!$A$28="NoInletRequired","",'Manifold Builder'!$E$56))</f>
        <v/>
      </c>
      <c r="B40" s="40" t="str">
        <f>IF(A40="","",IF('PRODUCT 3'!$A$28="NoInletRequired","","20576-00"))</f>
        <v/>
      </c>
      <c r="C40" s="21" t="str">
        <f>IF(ISNUMBER('PRODUCT 3'!$F$5),"ORS Inline Strainer, 50 Mesh","")</f>
        <v/>
      </c>
      <c r="D40" s="21"/>
      <c r="E40" s="21"/>
      <c r="F40" s="21"/>
      <c r="G40" s="14"/>
      <c r="H40" s="28" t="str">
        <f>IF(ISNUMBER('PRODUCT 3'!$F$5),_xlfn.XLOOKUP(B40,CurrencyModifier!A:A,CurrencyModifier!B:B),"")</f>
        <v/>
      </c>
      <c r="I40" s="25" t="str">
        <f>IF(A40="","",(A40*H40))</f>
        <v/>
      </c>
      <c r="J40" s="155" t="str">
        <f t="shared" si="2"/>
        <v/>
      </c>
    </row>
    <row r="41" spans="1:10">
      <c r="A41" s="89"/>
      <c r="B41" s="89"/>
      <c r="C41" s="21" t="str">
        <f>IF(ISNUMBER('PRODUCT 3'!$F$5),"[Optional - 1 per manifold inlet]","")</f>
        <v/>
      </c>
      <c r="D41" s="21"/>
      <c r="E41" s="21"/>
      <c r="F41" s="21"/>
      <c r="G41" s="14"/>
      <c r="H41" s="28"/>
      <c r="I41" s="25"/>
      <c r="J41" s="155" t="str">
        <f t="shared" si="2"/>
        <v/>
      </c>
    </row>
    <row r="42" spans="1:10">
      <c r="A42" s="40" t="str">
        <f>IF(ISNUMBER($A$25),IF('PRODUCT 3'!$F$21="YES",A34,""),"")</f>
        <v/>
      </c>
      <c r="B42" s="40" t="str">
        <f>IF(A42="","",IF(ISBLANK('PRODUCT 3'!E94),"21500-VXX",'PRODUCT 3'!E94))</f>
        <v/>
      </c>
      <c r="C42" s="48" t="str">
        <f>IF(ISNUMBER('PRODUCT 3'!$F$5),"Metering Orifice - REPLACE -XX with orifice size","")</f>
        <v/>
      </c>
      <c r="D42" s="44"/>
      <c r="E42" s="44"/>
      <c r="F42" s="44"/>
      <c r="G42" s="48"/>
      <c r="H42" s="45" t="str">
        <f>IF(ISNUMBER('PRODUCT 3'!$F$5),LOOKUP(IF(('PRODUCT 3'!$A$16&lt;0.15),"21500-V005","21500-V03"),CurrencyModifier!A:A,CurrencyModifier!B:B),"")</f>
        <v/>
      </c>
      <c r="I42" s="42" t="str">
        <f>IF(A42="","",(A42*H42))</f>
        <v/>
      </c>
      <c r="J42" s="155" t="str">
        <f t="shared" si="2"/>
        <v/>
      </c>
    </row>
    <row r="43" spans="1:10">
      <c r="A43" s="89"/>
      <c r="B43" s="89"/>
      <c r="C43" s="54" t="str">
        <f>IF(ISNUMBER('PRODUCT 3'!$F$5),CONCATENATE("ORS Metering Orifices for ",'PRODUCT 3'!A3," [1 per outlet]"),"")</f>
        <v/>
      </c>
      <c r="D43" s="54"/>
      <c r="E43" s="54"/>
      <c r="F43" s="54"/>
      <c r="G43" s="97"/>
      <c r="H43" s="56"/>
      <c r="I43" s="50"/>
      <c r="J43" s="155" t="str">
        <f t="shared" si="2"/>
        <v/>
      </c>
    </row>
    <row r="44" spans="1:10">
      <c r="A44" s="697" t="s">
        <v>152</v>
      </c>
      <c r="B44" s="697"/>
      <c r="C44" s="697"/>
      <c r="D44" s="697"/>
      <c r="E44" s="697"/>
      <c r="F44" s="697"/>
      <c r="G44" s="697"/>
      <c r="H44" s="697"/>
      <c r="I44" s="83">
        <f>SUM(I5:I43)</f>
        <v>0</v>
      </c>
      <c r="J44" s="155"/>
    </row>
    <row r="45" spans="1:10">
      <c r="A45" s="149"/>
      <c r="B45" s="149"/>
      <c r="C45" s="149"/>
      <c r="D45" s="149"/>
      <c r="E45" s="149"/>
      <c r="F45" s="149"/>
      <c r="G45" s="14"/>
      <c r="H45" s="151" t="s">
        <v>3546</v>
      </c>
      <c r="I45" s="101">
        <f>I44*F2*-1</f>
        <v>0</v>
      </c>
      <c r="J45" s="142"/>
    </row>
    <row r="46" spans="1:10">
      <c r="A46" s="14"/>
      <c r="B46" s="14"/>
      <c r="C46" s="14"/>
      <c r="D46" s="14"/>
      <c r="E46" s="14"/>
      <c r="F46" s="14"/>
      <c r="G46" s="14"/>
      <c r="H46" s="31" t="s">
        <v>3454</v>
      </c>
      <c r="I46" s="102"/>
      <c r="J46" s="142"/>
    </row>
    <row r="47" spans="1:10" ht="15.75" thickBot="1">
      <c r="A47" s="14"/>
      <c r="B47" s="14"/>
      <c r="C47" s="14"/>
      <c r="D47" s="14"/>
      <c r="E47" s="14"/>
      <c r="F47" s="14"/>
      <c r="G47" s="14"/>
      <c r="H47" s="32" t="s">
        <v>158</v>
      </c>
      <c r="I47" s="33">
        <f>SUM(I44:I46)</f>
        <v>0</v>
      </c>
      <c r="J47" s="142"/>
    </row>
    <row r="48" spans="1:10" ht="15.75" thickTop="1">
      <c r="A48" s="14"/>
      <c r="B48" s="14"/>
      <c r="C48" s="14"/>
      <c r="D48" s="14"/>
      <c r="E48" s="14"/>
      <c r="F48" s="14"/>
      <c r="G48" s="14"/>
      <c r="H48" s="14"/>
      <c r="I48" s="14"/>
    </row>
    <row r="49" spans="1:11">
      <c r="A49" s="14"/>
      <c r="B49" s="14"/>
      <c r="C49" s="14"/>
      <c r="D49" s="14"/>
      <c r="E49" s="14"/>
      <c r="F49" s="14"/>
      <c r="G49" s="14"/>
      <c r="H49" s="14"/>
      <c r="I49" s="14"/>
    </row>
    <row r="50" spans="1:11">
      <c r="A50" s="14"/>
      <c r="B50" s="14"/>
      <c r="C50" s="14"/>
      <c r="D50" s="14"/>
      <c r="E50" s="14"/>
      <c r="F50" s="14"/>
      <c r="G50" s="14"/>
      <c r="H50" s="14"/>
      <c r="I50" s="14"/>
    </row>
    <row r="51" spans="1:11">
      <c r="A51" s="79"/>
      <c r="B51" s="79"/>
      <c r="C51" s="79"/>
      <c r="D51" s="79"/>
      <c r="E51" s="79"/>
      <c r="F51" s="79"/>
      <c r="G51" s="79"/>
      <c r="H51" s="79"/>
      <c r="I51" s="79"/>
    </row>
    <row r="52" spans="1:11">
      <c r="A52" s="699" t="s">
        <v>3458</v>
      </c>
      <c r="B52" s="699"/>
      <c r="C52" s="699"/>
      <c r="D52" s="699"/>
      <c r="E52" s="699"/>
      <c r="F52" s="699"/>
      <c r="G52" s="699"/>
      <c r="H52" s="79"/>
      <c r="I52" s="79"/>
    </row>
    <row r="53" spans="1:11">
      <c r="A53" s="652" t="s">
        <v>3464</v>
      </c>
      <c r="B53" s="652"/>
      <c r="C53" s="652" t="s">
        <v>3481</v>
      </c>
      <c r="D53" s="652" t="s">
        <v>3482</v>
      </c>
      <c r="E53" s="658" t="s">
        <v>122</v>
      </c>
      <c r="F53" s="658"/>
      <c r="G53" s="658"/>
      <c r="H53" s="79"/>
      <c r="I53" s="79"/>
      <c r="K53" s="99"/>
    </row>
    <row r="54" spans="1:11">
      <c r="A54" s="652"/>
      <c r="B54" s="652"/>
      <c r="C54" s="652"/>
      <c r="D54" s="652"/>
      <c r="E54" s="658"/>
      <c r="F54" s="658"/>
      <c r="G54" s="658"/>
      <c r="H54" s="79"/>
      <c r="I54" s="79"/>
      <c r="K54" s="99"/>
    </row>
    <row r="55" spans="1:11" ht="60">
      <c r="A55" s="88" t="s">
        <v>14</v>
      </c>
      <c r="B55" s="88"/>
      <c r="C55" s="652"/>
      <c r="D55" s="652"/>
      <c r="E55" s="103" t="s">
        <v>123</v>
      </c>
      <c r="F55" s="103" t="s">
        <v>124</v>
      </c>
      <c r="G55" s="104" t="s">
        <v>3485</v>
      </c>
      <c r="H55" s="103" t="s">
        <v>3484</v>
      </c>
      <c r="I55" s="79"/>
      <c r="J55" s="98"/>
      <c r="K55" s="99"/>
    </row>
    <row r="56" spans="1:11">
      <c r="A56" s="88" t="s">
        <v>15</v>
      </c>
      <c r="B56" s="79">
        <f>SUM('PRODUCT 3'!B45,'PRODUCT 2'!B45,'PRODUCT 1'!B45)</f>
        <v>0</v>
      </c>
      <c r="C56" s="79">
        <f t="shared" ref="C56:C69" si="4">B56/16</f>
        <v>0</v>
      </c>
      <c r="D56" s="105" t="str">
        <f t="shared" ref="D56:D68" si="5">IF(B56&gt;0,MROUND((C56+0.124),0.25),"")</f>
        <v/>
      </c>
      <c r="E56" s="106">
        <f t="shared" ref="E56:E68" si="6">_xlfn.CEILING.MATH(B56,4)</f>
        <v>0</v>
      </c>
      <c r="F56" s="106">
        <f t="shared" ref="F56:F68" si="7">E56/4</f>
        <v>0</v>
      </c>
      <c r="G56" s="107">
        <f>B56/4</f>
        <v>0</v>
      </c>
      <c r="H56" s="108" t="str">
        <f>IF(4-(4*(G56-TRUNC(G56,0)))=4,"",4-(4*(G56-TRUNC(G56,0))))</f>
        <v/>
      </c>
      <c r="I56" s="106"/>
      <c r="J56" s="98"/>
      <c r="K56" s="99"/>
    </row>
    <row r="57" spans="1:11">
      <c r="A57" s="88" t="s">
        <v>16</v>
      </c>
      <c r="B57" s="79">
        <f>SUM('PRODUCT 3'!B46,'PRODUCT 2'!B46,'PRODUCT 1'!B46)</f>
        <v>0</v>
      </c>
      <c r="C57" s="79">
        <f t="shared" si="4"/>
        <v>0</v>
      </c>
      <c r="D57" s="105" t="str">
        <f t="shared" si="5"/>
        <v/>
      </c>
      <c r="E57" s="106">
        <f t="shared" si="6"/>
        <v>0</v>
      </c>
      <c r="F57" s="106">
        <f t="shared" si="7"/>
        <v>0</v>
      </c>
      <c r="G57" s="107">
        <f t="shared" ref="G57:G68" si="8">B57/4</f>
        <v>0</v>
      </c>
      <c r="H57" s="108" t="str">
        <f t="shared" ref="H57:H68" si="9">IF(4-(4*(G57-TRUNC(G57,0)))=4,"",4-(4*(G57-TRUNC(G57,0))))</f>
        <v/>
      </c>
      <c r="I57" s="106" t="str">
        <f>IF(H56="","",IF(H56+I56&gt;=4,4-(H56+I56),H56+I56))</f>
        <v/>
      </c>
      <c r="J57" s="98"/>
      <c r="K57" s="99"/>
    </row>
    <row r="58" spans="1:11">
      <c r="A58" s="88" t="s">
        <v>17</v>
      </c>
      <c r="B58" s="79">
        <f>SUM('PRODUCT 3'!B47,'PRODUCT 2'!B47,'PRODUCT 1'!B47)</f>
        <v>0</v>
      </c>
      <c r="C58" s="79">
        <f t="shared" si="4"/>
        <v>0</v>
      </c>
      <c r="D58" s="105" t="str">
        <f t="shared" si="5"/>
        <v/>
      </c>
      <c r="E58" s="106">
        <f t="shared" si="6"/>
        <v>0</v>
      </c>
      <c r="F58" s="106">
        <f t="shared" si="7"/>
        <v>0</v>
      </c>
      <c r="G58" s="107">
        <f t="shared" si="8"/>
        <v>0</v>
      </c>
      <c r="H58" s="108" t="str">
        <f t="shared" si="9"/>
        <v/>
      </c>
      <c r="I58" s="106" t="str">
        <f>IF(H57="","",IF(H57+I57&gt;=4,4-(H57+I57),H57+I57))</f>
        <v/>
      </c>
      <c r="J58" s="98"/>
      <c r="K58" s="99"/>
    </row>
    <row r="59" spans="1:11">
      <c r="A59" s="88" t="s">
        <v>18</v>
      </c>
      <c r="B59" s="79">
        <f>SUM('PRODUCT 3'!B48,'PRODUCT 2'!B48,'PRODUCT 1'!B48)</f>
        <v>0</v>
      </c>
      <c r="C59" s="79">
        <f t="shared" si="4"/>
        <v>0</v>
      </c>
      <c r="D59" s="105" t="str">
        <f t="shared" si="5"/>
        <v/>
      </c>
      <c r="E59" s="106">
        <f t="shared" si="6"/>
        <v>0</v>
      </c>
      <c r="F59" s="106">
        <f t="shared" si="7"/>
        <v>0</v>
      </c>
      <c r="G59" s="107">
        <f t="shared" si="8"/>
        <v>0</v>
      </c>
      <c r="H59" s="108" t="str">
        <f t="shared" si="9"/>
        <v/>
      </c>
      <c r="I59" s="106" t="str">
        <f t="shared" ref="I59:I69" si="10">IF(H58="","",IF(H58+I58&gt;=4,4-(H58+I58),H58+I58))</f>
        <v/>
      </c>
      <c r="J59" s="98"/>
      <c r="K59" s="99"/>
    </row>
    <row r="60" spans="1:11">
      <c r="A60" s="88" t="s">
        <v>19</v>
      </c>
      <c r="B60" s="79">
        <f>SUM('PRODUCT 3'!B49,'PRODUCT 2'!B49,'PRODUCT 1'!B49)</f>
        <v>0</v>
      </c>
      <c r="C60" s="79">
        <f t="shared" si="4"/>
        <v>0</v>
      </c>
      <c r="D60" s="105" t="str">
        <f t="shared" si="5"/>
        <v/>
      </c>
      <c r="E60" s="106">
        <f t="shared" si="6"/>
        <v>0</v>
      </c>
      <c r="F60" s="106">
        <f t="shared" si="7"/>
        <v>0</v>
      </c>
      <c r="G60" s="107">
        <f t="shared" si="8"/>
        <v>0</v>
      </c>
      <c r="H60" s="108" t="str">
        <f t="shared" si="9"/>
        <v/>
      </c>
      <c r="I60" s="106" t="str">
        <f t="shared" si="10"/>
        <v/>
      </c>
      <c r="J60" s="98"/>
      <c r="K60" s="99"/>
    </row>
    <row r="61" spans="1:11">
      <c r="A61" s="88" t="s">
        <v>20</v>
      </c>
      <c r="B61" s="79">
        <f>SUM('PRODUCT 3'!B50,'PRODUCT 2'!B50,'PRODUCT 1'!B50)</f>
        <v>0</v>
      </c>
      <c r="C61" s="79">
        <f t="shared" si="4"/>
        <v>0</v>
      </c>
      <c r="D61" s="105" t="str">
        <f t="shared" si="5"/>
        <v/>
      </c>
      <c r="E61" s="106">
        <f t="shared" si="6"/>
        <v>0</v>
      </c>
      <c r="F61" s="106">
        <f t="shared" si="7"/>
        <v>0</v>
      </c>
      <c r="G61" s="107">
        <f t="shared" si="8"/>
        <v>0</v>
      </c>
      <c r="H61" s="108" t="str">
        <f t="shared" si="9"/>
        <v/>
      </c>
      <c r="I61" s="106" t="str">
        <f t="shared" si="10"/>
        <v/>
      </c>
      <c r="J61" s="98"/>
      <c r="K61" s="99"/>
    </row>
    <row r="62" spans="1:11">
      <c r="A62" s="88" t="s">
        <v>21</v>
      </c>
      <c r="B62" s="79">
        <f>SUM('PRODUCT 3'!B51,'PRODUCT 2'!B51,'PRODUCT 1'!B51)</f>
        <v>0</v>
      </c>
      <c r="C62" s="79">
        <f t="shared" si="4"/>
        <v>0</v>
      </c>
      <c r="D62" s="105" t="str">
        <f t="shared" si="5"/>
        <v/>
      </c>
      <c r="E62" s="106">
        <f t="shared" si="6"/>
        <v>0</v>
      </c>
      <c r="F62" s="106">
        <f t="shared" si="7"/>
        <v>0</v>
      </c>
      <c r="G62" s="107">
        <f t="shared" si="8"/>
        <v>0</v>
      </c>
      <c r="H62" s="108" t="str">
        <f t="shared" si="9"/>
        <v/>
      </c>
      <c r="I62" s="106" t="str">
        <f t="shared" si="10"/>
        <v/>
      </c>
      <c r="J62" s="98"/>
      <c r="K62" s="99"/>
    </row>
    <row r="63" spans="1:11">
      <c r="A63" s="88" t="s">
        <v>22</v>
      </c>
      <c r="B63" s="79">
        <f>SUM('PRODUCT 3'!B52,'PRODUCT 2'!B52,'PRODUCT 1'!B52)</f>
        <v>0</v>
      </c>
      <c r="C63" s="79">
        <f t="shared" si="4"/>
        <v>0</v>
      </c>
      <c r="D63" s="105" t="str">
        <f t="shared" si="5"/>
        <v/>
      </c>
      <c r="E63" s="106">
        <f t="shared" si="6"/>
        <v>0</v>
      </c>
      <c r="F63" s="106">
        <f t="shared" si="7"/>
        <v>0</v>
      </c>
      <c r="G63" s="107">
        <f t="shared" si="8"/>
        <v>0</v>
      </c>
      <c r="H63" s="108" t="str">
        <f t="shared" si="9"/>
        <v/>
      </c>
      <c r="I63" s="106" t="str">
        <f t="shared" si="10"/>
        <v/>
      </c>
      <c r="J63" s="98"/>
      <c r="K63" s="99"/>
    </row>
    <row r="64" spans="1:11">
      <c r="A64" s="88" t="s">
        <v>23</v>
      </c>
      <c r="B64" s="79">
        <f>SUM('PRODUCT 3'!B53,'PRODUCT 2'!B53,'PRODUCT 1'!B53)</f>
        <v>0</v>
      </c>
      <c r="C64" s="79">
        <f t="shared" si="4"/>
        <v>0</v>
      </c>
      <c r="D64" s="105" t="str">
        <f t="shared" si="5"/>
        <v/>
      </c>
      <c r="E64" s="106">
        <f t="shared" si="6"/>
        <v>0</v>
      </c>
      <c r="F64" s="106">
        <f t="shared" si="7"/>
        <v>0</v>
      </c>
      <c r="G64" s="107">
        <f t="shared" si="8"/>
        <v>0</v>
      </c>
      <c r="H64" s="108" t="str">
        <f t="shared" si="9"/>
        <v/>
      </c>
      <c r="I64" s="106" t="str">
        <f t="shared" si="10"/>
        <v/>
      </c>
      <c r="J64" s="98"/>
      <c r="K64" s="99"/>
    </row>
    <row r="65" spans="1:11" ht="30">
      <c r="A65" s="88" t="s">
        <v>24</v>
      </c>
      <c r="B65" s="79">
        <f>SUM('PRODUCT 3'!B54,'PRODUCT 2'!B54,'PRODUCT 1'!B54)</f>
        <v>0</v>
      </c>
      <c r="C65" s="79">
        <f t="shared" si="4"/>
        <v>0</v>
      </c>
      <c r="D65" s="105" t="str">
        <f t="shared" si="5"/>
        <v/>
      </c>
      <c r="E65" s="106">
        <f t="shared" si="6"/>
        <v>0</v>
      </c>
      <c r="F65" s="106">
        <f t="shared" si="7"/>
        <v>0</v>
      </c>
      <c r="G65" s="107">
        <f t="shared" si="8"/>
        <v>0</v>
      </c>
      <c r="H65" s="108" t="str">
        <f t="shared" si="9"/>
        <v/>
      </c>
      <c r="I65" s="106" t="str">
        <f t="shared" si="10"/>
        <v/>
      </c>
      <c r="J65" s="98"/>
      <c r="K65" s="99"/>
    </row>
    <row r="66" spans="1:11" ht="30">
      <c r="A66" s="88" t="s">
        <v>25</v>
      </c>
      <c r="B66" s="79">
        <f>SUM('PRODUCT 3'!B55,'PRODUCT 2'!B55,'PRODUCT 1'!B55)</f>
        <v>0</v>
      </c>
      <c r="C66" s="79">
        <f t="shared" si="4"/>
        <v>0</v>
      </c>
      <c r="D66" s="105" t="str">
        <f t="shared" si="5"/>
        <v/>
      </c>
      <c r="E66" s="106">
        <f t="shared" si="6"/>
        <v>0</v>
      </c>
      <c r="F66" s="106">
        <f t="shared" si="7"/>
        <v>0</v>
      </c>
      <c r="G66" s="107">
        <f t="shared" si="8"/>
        <v>0</v>
      </c>
      <c r="H66" s="108" t="str">
        <f t="shared" si="9"/>
        <v/>
      </c>
      <c r="I66" s="106" t="str">
        <f t="shared" si="10"/>
        <v/>
      </c>
      <c r="J66" s="98"/>
      <c r="K66" s="99"/>
    </row>
    <row r="67" spans="1:11" ht="30">
      <c r="A67" s="88" t="s">
        <v>26</v>
      </c>
      <c r="B67" s="79">
        <f>SUM('PRODUCT 3'!B56,'PRODUCT 2'!B56,'PRODUCT 1'!B56)</f>
        <v>0</v>
      </c>
      <c r="C67" s="79">
        <f t="shared" si="4"/>
        <v>0</v>
      </c>
      <c r="D67" s="105" t="str">
        <f t="shared" si="5"/>
        <v/>
      </c>
      <c r="E67" s="106">
        <f t="shared" si="6"/>
        <v>0</v>
      </c>
      <c r="F67" s="106">
        <f t="shared" si="7"/>
        <v>0</v>
      </c>
      <c r="G67" s="107">
        <f t="shared" si="8"/>
        <v>0</v>
      </c>
      <c r="H67" s="108" t="str">
        <f t="shared" si="9"/>
        <v/>
      </c>
      <c r="I67" s="106" t="str">
        <f t="shared" si="10"/>
        <v/>
      </c>
      <c r="J67" s="98"/>
      <c r="K67" s="99"/>
    </row>
    <row r="68" spans="1:11" ht="30">
      <c r="A68" s="88" t="s">
        <v>27</v>
      </c>
      <c r="B68" s="79">
        <f>SUM('PRODUCT 3'!B57,'PRODUCT 2'!B57,'PRODUCT 1'!B57)</f>
        <v>0</v>
      </c>
      <c r="C68" s="79">
        <f t="shared" si="4"/>
        <v>0</v>
      </c>
      <c r="D68" s="105" t="str">
        <f t="shared" si="5"/>
        <v/>
      </c>
      <c r="E68" s="106">
        <f t="shared" si="6"/>
        <v>0</v>
      </c>
      <c r="F68" s="106">
        <f t="shared" si="7"/>
        <v>0</v>
      </c>
      <c r="G68" s="107">
        <f t="shared" si="8"/>
        <v>0</v>
      </c>
      <c r="H68" s="108" t="str">
        <f t="shared" si="9"/>
        <v/>
      </c>
      <c r="I68" s="106" t="str">
        <f t="shared" si="10"/>
        <v/>
      </c>
      <c r="J68" s="98"/>
      <c r="K68" s="99"/>
    </row>
    <row r="69" spans="1:11" ht="60">
      <c r="A69" s="87" t="s">
        <v>30</v>
      </c>
      <c r="B69" s="79">
        <f>SUM(B56:B68)</f>
        <v>0</v>
      </c>
      <c r="C69" s="105">
        <f t="shared" si="4"/>
        <v>0</v>
      </c>
      <c r="D69" s="106">
        <f>SUM(D56:D68)</f>
        <v>0</v>
      </c>
      <c r="E69" s="106"/>
      <c r="F69" s="106">
        <f>SUM(F56:F68)</f>
        <v>0</v>
      </c>
      <c r="G69" s="108">
        <f>SUM(H56:H68)</f>
        <v>0</v>
      </c>
      <c r="H69" s="79"/>
      <c r="I69" s="106" t="str">
        <f t="shared" si="10"/>
        <v/>
      </c>
      <c r="J69" s="98"/>
      <c r="K69" s="99"/>
    </row>
    <row r="70" spans="1:11">
      <c r="A70" s="658" t="s">
        <v>125</v>
      </c>
      <c r="B70" s="658"/>
      <c r="C70" s="109">
        <f>ROUNDUP(C69,0)</f>
        <v>0</v>
      </c>
      <c r="D70" s="658" t="s">
        <v>3483</v>
      </c>
      <c r="E70" s="110" t="str">
        <f>IF(C69=0,"",(1-_xlfn.CEILING.MATH((C69-TRUNC(C69)),0.25))*4)</f>
        <v/>
      </c>
      <c r="F70" s="658" t="s">
        <v>3457</v>
      </c>
      <c r="G70" s="106">
        <v>0</v>
      </c>
      <c r="H70" s="79"/>
      <c r="I70" s="79" t="e">
        <f>(E70*4)+G70+B69</f>
        <v>#VALUE!</v>
      </c>
      <c r="J70" s="98"/>
    </row>
    <row r="71" spans="1:11">
      <c r="A71" s="658"/>
      <c r="B71" s="658"/>
      <c r="C71" s="109"/>
      <c r="D71" s="658"/>
      <c r="E71" s="79" t="s">
        <v>3469</v>
      </c>
      <c r="F71" s="658"/>
      <c r="G71" s="79" t="s">
        <v>3469</v>
      </c>
      <c r="H71" s="79"/>
      <c r="I71" s="79"/>
      <c r="J71" s="98"/>
    </row>
    <row r="72" spans="1:11">
      <c r="A72" s="658" t="s">
        <v>126</v>
      </c>
      <c r="B72" s="658"/>
      <c r="C72" s="105">
        <f>ROUNDUP(D69,0)</f>
        <v>0</v>
      </c>
      <c r="D72" s="658" t="s">
        <v>148</v>
      </c>
      <c r="E72" s="110" t="str">
        <f>IF(D69=0,"",(1-_xlfn.CEILING.MATH((D69-TRUNC(D69)),0.25))*4)</f>
        <v/>
      </c>
      <c r="F72" s="658" t="s">
        <v>3457</v>
      </c>
      <c r="G72" s="79">
        <f>SUM('PRODUCT 1'!F58,'PRODUCT 2'!F58,'PRODUCT 3'!F58)</f>
        <v>0</v>
      </c>
      <c r="H72" s="79"/>
      <c r="I72" s="79" t="e">
        <f>(E72*4)+G72+B69</f>
        <v>#VALUE!</v>
      </c>
      <c r="J72" s="98"/>
    </row>
    <row r="73" spans="1:11">
      <c r="A73" s="658"/>
      <c r="B73" s="658"/>
      <c r="C73" s="79"/>
      <c r="D73" s="658"/>
      <c r="E73" s="79" t="s">
        <v>3470</v>
      </c>
      <c r="F73" s="658"/>
      <c r="G73" s="79" t="s">
        <v>3468</v>
      </c>
      <c r="H73" s="79"/>
      <c r="I73" s="79"/>
      <c r="J73" s="100" t="b">
        <f>MOD(I73,16)=0</f>
        <v>1</v>
      </c>
    </row>
    <row r="74" spans="1:11">
      <c r="A74" s="79"/>
      <c r="B74" s="79"/>
      <c r="C74" s="79"/>
      <c r="D74" s="79"/>
      <c r="E74" s="79"/>
      <c r="F74" s="79"/>
      <c r="G74" s="79"/>
      <c r="H74" s="79"/>
      <c r="I74" s="79"/>
      <c r="J74" s="98"/>
    </row>
    <row r="75" spans="1:11">
      <c r="A75" s="79"/>
      <c r="B75" s="79"/>
      <c r="C75" s="79"/>
      <c r="D75" s="79"/>
      <c r="E75" s="79"/>
      <c r="F75" s="79"/>
      <c r="G75" s="79"/>
      <c r="H75" s="79"/>
      <c r="I75" s="79"/>
      <c r="J75" s="98" t="b">
        <f t="shared" ref="J75" si="11">MOD(I75,16)=0</f>
        <v>1</v>
      </c>
    </row>
    <row r="76" spans="1:11">
      <c r="A76" s="79"/>
      <c r="B76" s="79"/>
      <c r="C76" s="79"/>
      <c r="D76" s="79"/>
      <c r="E76" s="79"/>
      <c r="F76" s="79"/>
      <c r="G76" s="79"/>
      <c r="H76" s="79"/>
      <c r="I76" s="79"/>
      <c r="J76" s="98"/>
    </row>
    <row r="77" spans="1:11">
      <c r="A77" s="79"/>
      <c r="B77" s="79"/>
      <c r="C77" s="79"/>
      <c r="D77" s="79"/>
      <c r="E77" s="79"/>
      <c r="F77" s="79"/>
      <c r="G77" s="79"/>
      <c r="H77" s="79"/>
      <c r="I77" s="79"/>
      <c r="J77" s="98"/>
    </row>
    <row r="78" spans="1:11">
      <c r="A78" s="79"/>
      <c r="B78" s="79"/>
      <c r="C78" s="79"/>
      <c r="D78" s="79"/>
      <c r="E78" s="79"/>
      <c r="F78" s="79"/>
      <c r="G78" s="79"/>
      <c r="H78" s="79"/>
      <c r="I78" s="79"/>
      <c r="J78" s="99"/>
    </row>
    <row r="79" spans="1:11">
      <c r="A79" s="79"/>
      <c r="B79" s="79"/>
      <c r="C79" s="79"/>
      <c r="D79" s="79"/>
      <c r="E79" s="79"/>
      <c r="F79" s="79"/>
      <c r="G79" s="79"/>
      <c r="H79" s="79"/>
      <c r="I79" s="79"/>
      <c r="J79" s="99"/>
    </row>
    <row r="80" spans="1:11">
      <c r="A80" s="79"/>
      <c r="B80" s="79"/>
      <c r="C80" s="79"/>
      <c r="D80" s="79"/>
      <c r="E80" s="79"/>
      <c r="F80" s="79"/>
      <c r="G80" s="79"/>
      <c r="H80" s="79"/>
      <c r="I80" s="79"/>
      <c r="J80" s="99"/>
    </row>
    <row r="81" spans="1:9">
      <c r="A81" s="79"/>
      <c r="B81" s="79"/>
      <c r="C81" s="79"/>
      <c r="D81" s="79"/>
      <c r="E81" s="79"/>
      <c r="F81" s="79"/>
      <c r="G81" s="79"/>
      <c r="H81" s="79"/>
      <c r="I81" s="79"/>
    </row>
    <row r="82" spans="1:9">
      <c r="A82" s="79"/>
      <c r="B82" s="79"/>
      <c r="C82" s="79"/>
      <c r="D82" s="79"/>
      <c r="E82" s="79"/>
      <c r="F82" s="79"/>
      <c r="G82" s="79"/>
      <c r="H82" s="79"/>
      <c r="I82" s="79"/>
    </row>
    <row r="83" spans="1:9">
      <c r="A83" s="79"/>
      <c r="B83" s="79"/>
      <c r="C83" s="79"/>
      <c r="D83" s="79"/>
      <c r="E83" s="79"/>
      <c r="F83" s="79"/>
      <c r="G83" s="79"/>
      <c r="H83" s="79"/>
      <c r="I83" s="79"/>
    </row>
    <row r="84" spans="1:9">
      <c r="A84" s="79"/>
      <c r="B84" s="79"/>
      <c r="C84" s="79"/>
      <c r="D84" s="79"/>
      <c r="E84" s="79"/>
      <c r="F84" s="79"/>
      <c r="G84" s="79"/>
      <c r="H84" s="79"/>
      <c r="I84" s="79"/>
    </row>
    <row r="85" spans="1:9">
      <c r="A85" s="79"/>
      <c r="B85" s="79"/>
      <c r="C85" s="79"/>
      <c r="D85" s="79"/>
      <c r="E85" s="79"/>
      <c r="F85" s="79"/>
      <c r="G85" s="79"/>
      <c r="H85" s="79"/>
      <c r="I85" s="79"/>
    </row>
    <row r="86" spans="1:9">
      <c r="A86" s="79"/>
      <c r="B86" s="79"/>
      <c r="C86" s="79"/>
      <c r="D86" s="79"/>
      <c r="E86" s="79"/>
      <c r="F86" s="79"/>
      <c r="G86" s="79"/>
      <c r="H86" s="79"/>
      <c r="I86" s="79"/>
    </row>
    <row r="87" spans="1:9">
      <c r="A87" s="14"/>
      <c r="B87" s="14"/>
      <c r="C87" s="14"/>
      <c r="D87" s="14"/>
      <c r="E87" s="14"/>
      <c r="F87" s="14"/>
      <c r="G87" s="14"/>
      <c r="H87" s="14"/>
      <c r="I87" s="14"/>
    </row>
  </sheetData>
  <sheetProtection selectLockedCells="1"/>
  <mergeCells count="21">
    <mergeCell ref="A72:B73"/>
    <mergeCell ref="A52:G52"/>
    <mergeCell ref="A1:I1"/>
    <mergeCell ref="C4:F4"/>
    <mergeCell ref="J2:J4"/>
    <mergeCell ref="D72:D73"/>
    <mergeCell ref="F70:F71"/>
    <mergeCell ref="C9:F9"/>
    <mergeCell ref="F72:F73"/>
    <mergeCell ref="D70:D71"/>
    <mergeCell ref="A2:C2"/>
    <mergeCell ref="C10:G10"/>
    <mergeCell ref="A70:B71"/>
    <mergeCell ref="C53:C55"/>
    <mergeCell ref="D53:D55"/>
    <mergeCell ref="E53:G54"/>
    <mergeCell ref="A44:H44"/>
    <mergeCell ref="A11:I11"/>
    <mergeCell ref="A22:I22"/>
    <mergeCell ref="A33:I33"/>
    <mergeCell ref="A53:B54"/>
  </mergeCells>
  <conditionalFormatting sqref="D2">
    <cfRule type="notContainsBlanks" dxfId="4" priority="1">
      <formula>LEN(TRIM(D2))&gt;0</formula>
    </cfRule>
  </conditionalFormatting>
  <dataValidations count="1">
    <dataValidation type="list" allowBlank="1" showInputMessage="1" showErrorMessage="1" sqref="D2" xr:uid="{11249B91-8774-4B2A-A9CF-8D746E89B23F}">
      <formula1>currency</formula1>
    </dataValidation>
  </dataValidations>
  <pageMargins left="0.7" right="0.7" top="0.75" bottom="0.75" header="0.3" footer="0.3"/>
  <pageSetup orientation="portrait" r:id="rId1"/>
  <ignoredErrors>
    <ignoredError sqref="B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B8EA2-6745-4CCD-9761-7C95580DB32E}">
  <dimension ref="A1:K106"/>
  <sheetViews>
    <sheetView workbookViewId="0">
      <selection activeCell="F2" sqref="F2"/>
    </sheetView>
  </sheetViews>
  <sheetFormatPr defaultRowHeight="15"/>
  <cols>
    <col min="1" max="6" width="9.140625" style="8"/>
    <col min="7" max="7" width="11" style="8" customWidth="1"/>
    <col min="8" max="8" width="9.7109375" style="8" customWidth="1"/>
    <col min="9" max="9" width="11.5703125" style="8" bestFit="1" customWidth="1"/>
    <col min="10" max="10" width="10.5703125" style="8" bestFit="1" customWidth="1"/>
    <col min="11" max="16384" width="9.140625" style="8"/>
  </cols>
  <sheetData>
    <row r="1" spans="1:10" ht="21">
      <c r="A1" s="715" t="s">
        <v>3547</v>
      </c>
      <c r="B1" s="715"/>
      <c r="C1" s="715"/>
      <c r="D1" s="715"/>
      <c r="E1" s="715"/>
      <c r="F1" s="715"/>
      <c r="G1" s="715"/>
      <c r="H1" s="715"/>
      <c r="I1" s="715"/>
    </row>
    <row r="2" spans="1:10">
      <c r="A2" s="719" t="s">
        <v>3475</v>
      </c>
      <c r="B2" s="720"/>
      <c r="C2" s="721"/>
      <c r="D2" s="157"/>
      <c r="E2" s="72"/>
      <c r="F2" s="154">
        <v>0</v>
      </c>
      <c r="G2" s="72" t="s">
        <v>3549</v>
      </c>
      <c r="H2" s="72"/>
      <c r="I2" s="72"/>
    </row>
    <row r="3" spans="1:10" ht="15" customHeight="1">
      <c r="A3" s="716" t="s">
        <v>3639</v>
      </c>
      <c r="B3" s="717"/>
      <c r="C3" s="717"/>
      <c r="D3" s="717"/>
      <c r="E3" s="718"/>
      <c r="F3" s="154">
        <v>0</v>
      </c>
      <c r="G3" s="72" t="s">
        <v>3548</v>
      </c>
      <c r="H3" s="72"/>
      <c r="I3" s="72"/>
      <c r="J3" s="708" t="s">
        <v>3551</v>
      </c>
    </row>
    <row r="4" spans="1:10">
      <c r="A4" s="698" t="s">
        <v>141</v>
      </c>
      <c r="B4" s="698"/>
      <c r="C4" s="698"/>
      <c r="D4" s="698"/>
      <c r="E4" s="698"/>
      <c r="F4" s="698"/>
      <c r="G4" s="698"/>
      <c r="H4" s="698"/>
      <c r="I4" s="698"/>
      <c r="J4" s="708"/>
    </row>
    <row r="5" spans="1:10">
      <c r="A5" s="14"/>
      <c r="B5" s="14"/>
      <c r="C5" s="14"/>
      <c r="D5" s="14"/>
      <c r="E5" s="14"/>
      <c r="F5" s="14"/>
      <c r="G5" s="14"/>
      <c r="H5" s="19" t="e">
        <f>#REF!</f>
        <v>#REF!</v>
      </c>
      <c r="I5" s="20" t="s">
        <v>3452</v>
      </c>
      <c r="J5" s="708"/>
    </row>
    <row r="6" spans="1:10">
      <c r="A6" s="21" t="s">
        <v>139</v>
      </c>
      <c r="B6" s="22" t="s">
        <v>140</v>
      </c>
      <c r="C6" s="723" t="s">
        <v>138</v>
      </c>
      <c r="D6" s="723"/>
      <c r="E6" s="723"/>
      <c r="F6" s="723"/>
      <c r="G6" s="14"/>
      <c r="H6" s="23" t="s">
        <v>3449</v>
      </c>
      <c r="I6" s="14" t="s">
        <v>144</v>
      </c>
      <c r="J6" s="708"/>
    </row>
    <row r="7" spans="1:10">
      <c r="A7" s="40" t="str">
        <f>IF('Flow Indicator Parts List'!B69=0,"",IF('Flow Indicator Parts List'!B69&lt;196,1,"Check Runs"))</f>
        <v/>
      </c>
      <c r="B7" s="40" t="s">
        <v>136</v>
      </c>
      <c r="C7" s="724" t="s">
        <v>142</v>
      </c>
      <c r="D7" s="724"/>
      <c r="E7" s="724"/>
      <c r="F7" s="724"/>
      <c r="G7" s="724"/>
      <c r="H7" s="59" t="e">
        <f>LOOKUP(B7,#REF!,#REF!)</f>
        <v>#REF!</v>
      </c>
      <c r="I7" s="42" t="str">
        <f>IF(A7="","",(A7*H7))</f>
        <v/>
      </c>
      <c r="J7" s="155" t="str">
        <f>IF(I7="","",(1-$F$2)*I7)</f>
        <v/>
      </c>
    </row>
    <row r="8" spans="1:10">
      <c r="A8" s="152"/>
      <c r="B8" s="152"/>
      <c r="C8" s="707" t="s">
        <v>143</v>
      </c>
      <c r="D8" s="707"/>
      <c r="E8" s="707"/>
      <c r="F8" s="707"/>
      <c r="G8" s="707"/>
      <c r="H8" s="49"/>
      <c r="I8" s="50"/>
      <c r="J8" s="155" t="str">
        <f t="shared" ref="J8:J19" si="0">IF(I8="","",(1-$F$2)*I8)</f>
        <v/>
      </c>
    </row>
    <row r="9" spans="1:10">
      <c r="A9" s="76"/>
      <c r="B9" s="76" t="s">
        <v>3450</v>
      </c>
      <c r="C9" s="713" t="s">
        <v>3477</v>
      </c>
      <c r="D9" s="713"/>
      <c r="E9" s="713"/>
      <c r="F9" s="713"/>
      <c r="G9" s="713"/>
      <c r="H9" s="58" t="s">
        <v>3451</v>
      </c>
      <c r="I9" s="30"/>
      <c r="J9" s="155" t="str">
        <f t="shared" si="0"/>
        <v/>
      </c>
    </row>
    <row r="10" spans="1:10">
      <c r="A10" s="27">
        <f>IF('Parts List Seperate Manifolds'!D88=0,ROUNDUP(SUM('PRODUCT 1'!F6,'PRODUCT 2'!E5,'PRODUCT 3'!F5)/16,0),ROUNDUP('Parts List Seperate Manifolds'!D88,0))</f>
        <v>0</v>
      </c>
      <c r="B10" s="24" t="s">
        <v>137</v>
      </c>
      <c r="C10" s="714" t="s">
        <v>146</v>
      </c>
      <c r="D10" s="714"/>
      <c r="E10" s="714"/>
      <c r="F10" s="714"/>
      <c r="G10" s="714"/>
      <c r="H10" s="60" t="e">
        <f>LOOKUP(B10,#REF!,#REF!)</f>
        <v>#REF!</v>
      </c>
      <c r="I10" s="25" t="e">
        <f>IF(A10="","",(A10*H10))</f>
        <v>#REF!</v>
      </c>
      <c r="J10" s="155" t="e">
        <f t="shared" si="0"/>
        <v>#REF!</v>
      </c>
    </row>
    <row r="11" spans="1:10">
      <c r="A11" s="24"/>
      <c r="B11" s="24"/>
      <c r="C11" s="714" t="s">
        <v>145</v>
      </c>
      <c r="D11" s="714"/>
      <c r="E11" s="714"/>
      <c r="F11" s="714"/>
      <c r="G11" s="714"/>
      <c r="H11" s="26"/>
      <c r="I11" s="25"/>
      <c r="J11" s="155" t="str">
        <f t="shared" si="0"/>
        <v/>
      </c>
    </row>
    <row r="12" spans="1:10">
      <c r="A12" s="43" t="str">
        <f>IF('Parts List Seperate Manifolds'!E91=0,"",'Parts List Seperate Manifolds'!E91)</f>
        <v/>
      </c>
      <c r="B12" s="40" t="s">
        <v>147</v>
      </c>
      <c r="C12" s="150" t="s">
        <v>150</v>
      </c>
      <c r="D12" s="150"/>
      <c r="E12" s="150"/>
      <c r="F12" s="150"/>
      <c r="G12" s="150"/>
      <c r="H12" s="41" t="e">
        <f>LOOKUP(B12,#REF!,#REF!)</f>
        <v>#REF!</v>
      </c>
      <c r="I12" s="42" t="str">
        <f>IF(A12="","",(A12*H12))</f>
        <v/>
      </c>
      <c r="J12" s="155" t="str">
        <f t="shared" si="0"/>
        <v/>
      </c>
    </row>
    <row r="13" spans="1:10">
      <c r="A13" s="152"/>
      <c r="B13" s="152"/>
      <c r="C13" s="707" t="s">
        <v>149</v>
      </c>
      <c r="D13" s="707"/>
      <c r="E13" s="707"/>
      <c r="F13" s="707"/>
      <c r="G13" s="97"/>
      <c r="H13" s="56"/>
      <c r="I13" s="50"/>
      <c r="J13" s="155" t="str">
        <f t="shared" si="0"/>
        <v/>
      </c>
    </row>
    <row r="14" spans="1:10">
      <c r="A14" s="24" t="str">
        <f>IF('Parts List Seperate Manifolds'!G91=0,"",'Parts List Seperate Manifolds'!G91)</f>
        <v/>
      </c>
      <c r="B14" s="24" t="s">
        <v>3107</v>
      </c>
      <c r="C14" s="714" t="s">
        <v>3455</v>
      </c>
      <c r="D14" s="714"/>
      <c r="E14" s="714"/>
      <c r="F14" s="714"/>
      <c r="G14" s="14"/>
      <c r="H14" s="26" t="e">
        <f>LOOKUP(B14,#REF!,#REF!)</f>
        <v>#REF!</v>
      </c>
      <c r="I14" s="25" t="str">
        <f>IF(A14="","",(A14*H14))</f>
        <v/>
      </c>
      <c r="J14" s="155" t="str">
        <f t="shared" si="0"/>
        <v/>
      </c>
    </row>
    <row r="15" spans="1:10">
      <c r="A15" s="24"/>
      <c r="B15" s="24"/>
      <c r="C15" s="94" t="s">
        <v>3456</v>
      </c>
      <c r="D15" s="94"/>
      <c r="E15" s="94"/>
      <c r="F15" s="94"/>
      <c r="G15" s="14"/>
      <c r="H15" s="28"/>
      <c r="I15" s="25"/>
      <c r="J15" s="155" t="str">
        <f t="shared" si="0"/>
        <v/>
      </c>
    </row>
    <row r="16" spans="1:10">
      <c r="A16" s="43" t="str">
        <f>IF('Parts List Seperate Manifolds'!G88=0,"",'Parts List Seperate Manifolds'!G88)</f>
        <v/>
      </c>
      <c r="B16" s="40" t="s">
        <v>3149</v>
      </c>
      <c r="C16" s="150" t="s">
        <v>3459</v>
      </c>
      <c r="D16" s="150"/>
      <c r="E16" s="150"/>
      <c r="F16" s="150"/>
      <c r="G16" s="48"/>
      <c r="H16" s="41" t="e">
        <f>LOOKUP(B16,#REF!,#REF!)</f>
        <v>#REF!</v>
      </c>
      <c r="I16" s="42" t="str">
        <f>IF(A16="","",A16*H16)</f>
        <v/>
      </c>
      <c r="J16" s="155" t="str">
        <f t="shared" si="0"/>
        <v/>
      </c>
    </row>
    <row r="17" spans="1:10">
      <c r="A17" s="152"/>
      <c r="B17" s="152"/>
      <c r="C17" s="148" t="s">
        <v>3462</v>
      </c>
      <c r="D17" s="148"/>
      <c r="E17" s="148"/>
      <c r="F17" s="148"/>
      <c r="G17" s="97"/>
      <c r="H17" s="56"/>
      <c r="I17" s="50"/>
      <c r="J17" s="155" t="str">
        <f t="shared" si="0"/>
        <v/>
      </c>
    </row>
    <row r="18" spans="1:10">
      <c r="A18" s="40">
        <v>1</v>
      </c>
      <c r="B18" s="40" t="s">
        <v>3130</v>
      </c>
      <c r="C18" s="48" t="s">
        <v>3460</v>
      </c>
      <c r="D18" s="44"/>
      <c r="E18" s="44"/>
      <c r="F18" s="44"/>
      <c r="G18" s="48"/>
      <c r="H18" s="41" t="e">
        <f>LOOKUP(B18,#REF!,#REF!)</f>
        <v>#REF!</v>
      </c>
      <c r="I18" s="42" t="e">
        <f>IF(A18="","",(A18*H18))</f>
        <v>#REF!</v>
      </c>
      <c r="J18" s="155" t="e">
        <f t="shared" si="0"/>
        <v>#REF!</v>
      </c>
    </row>
    <row r="19" spans="1:10">
      <c r="A19" s="152"/>
      <c r="B19" s="152"/>
      <c r="C19" s="54" t="s">
        <v>3461</v>
      </c>
      <c r="D19" s="54"/>
      <c r="E19" s="54"/>
      <c r="F19" s="54"/>
      <c r="G19" s="97"/>
      <c r="H19" s="56"/>
      <c r="I19" s="50"/>
      <c r="J19" s="155" t="str">
        <f t="shared" si="0"/>
        <v/>
      </c>
    </row>
    <row r="20" spans="1:10" ht="15.75">
      <c r="A20" s="711" t="s">
        <v>152</v>
      </c>
      <c r="B20" s="711"/>
      <c r="C20" s="711"/>
      <c r="D20" s="711"/>
      <c r="E20" s="711"/>
      <c r="F20" s="711"/>
      <c r="G20" s="711"/>
      <c r="H20" s="711"/>
      <c r="I20" s="711"/>
      <c r="J20" s="155"/>
    </row>
    <row r="21" spans="1:10">
      <c r="A21" s="19"/>
      <c r="B21" s="19"/>
      <c r="C21" s="19"/>
      <c r="D21" s="19"/>
      <c r="E21" s="19"/>
      <c r="F21" s="19"/>
      <c r="G21" s="19"/>
      <c r="H21" s="77" t="e">
        <f>#REF!</f>
        <v>#REF!</v>
      </c>
      <c r="I21" s="77" t="s">
        <v>3452</v>
      </c>
      <c r="J21" s="155"/>
    </row>
    <row r="22" spans="1:10">
      <c r="A22" s="152" t="s">
        <v>139</v>
      </c>
      <c r="B22" s="152" t="s">
        <v>140</v>
      </c>
      <c r="C22" s="712" t="s">
        <v>138</v>
      </c>
      <c r="D22" s="712"/>
      <c r="E22" s="712"/>
      <c r="F22" s="712"/>
      <c r="G22" s="147"/>
      <c r="H22" s="57" t="s">
        <v>3449</v>
      </c>
      <c r="I22" s="147" t="s">
        <v>144</v>
      </c>
      <c r="J22" s="155"/>
    </row>
    <row r="23" spans="1:10">
      <c r="A23" s="47" t="str">
        <f>IF('Manifold Builder'!G54=0,"",'Manifold Builder'!G54)</f>
        <v/>
      </c>
      <c r="B23" s="86" t="str">
        <f>IF('Manifold Builder'!G54=0,"","20521-00")</f>
        <v/>
      </c>
      <c r="C23" s="52" t="str">
        <f>IF('Manifold Builder'!G54=0,"","ORS End-Caps")</f>
        <v/>
      </c>
      <c r="D23" s="52"/>
      <c r="E23" s="52"/>
      <c r="F23" s="52"/>
      <c r="G23" s="15"/>
      <c r="H23" s="53" t="str">
        <f>IF('Manifold Builder'!G54=0,"",LOOKUP(B23,#REF!,#REF!))</f>
        <v/>
      </c>
      <c r="I23" s="46" t="str">
        <f>IF(A23="","",(A23*H23))</f>
        <v/>
      </c>
      <c r="J23" s="155" t="str">
        <f>IF(I23="","",(1-$F$3)*I23)</f>
        <v/>
      </c>
    </row>
    <row r="24" spans="1:10">
      <c r="A24" s="85"/>
      <c r="B24" s="85"/>
      <c r="C24" s="55" t="str">
        <f>IF('Manifold Builder'!G54=0,"","ORS-Female end cap plugs off manifolds")</f>
        <v/>
      </c>
      <c r="D24" s="55"/>
      <c r="E24" s="55"/>
      <c r="F24" s="55"/>
      <c r="G24" s="97"/>
      <c r="H24" s="56"/>
      <c r="I24" s="50" t="str">
        <f>IF(A24="","",(A24*H24))</f>
        <v/>
      </c>
      <c r="J24" s="155" t="str">
        <f t="shared" ref="J24:J59" si="1">IF(I24="","",(1-$F$3)*I24)</f>
        <v/>
      </c>
    </row>
    <row r="25" spans="1:10">
      <c r="A25" s="40" t="str">
        <f>IF('Manifold Builder'!C51=0,"",'Manifold Builder'!C51)</f>
        <v/>
      </c>
      <c r="B25" s="84" t="str">
        <f>IF('Manifold Builder'!C51=0,"","20644-00")</f>
        <v/>
      </c>
      <c r="C25" s="703" t="str">
        <f>IF('Manifold Builder'!C51=0,"","4-Outlet EFM Manifold [sub 20634-00 for 90° Check Valve]")</f>
        <v/>
      </c>
      <c r="D25" s="703"/>
      <c r="E25" s="703"/>
      <c r="F25" s="703"/>
      <c r="G25" s="48"/>
      <c r="H25" s="45" t="str">
        <f>IF('Manifold Builder'!C51=0,"",LOOKUP(B25,#REF!,#REF!))</f>
        <v/>
      </c>
      <c r="I25" s="42" t="str">
        <f>IF(A25="","",(A25*H25))</f>
        <v/>
      </c>
      <c r="J25" s="155" t="str">
        <f t="shared" si="1"/>
        <v/>
      </c>
    </row>
    <row r="26" spans="1:10">
      <c r="A26" s="152"/>
      <c r="B26" s="85"/>
      <c r="C26" s="95" t="str">
        <f>IF('Manifold Builder'!C51=0,"","incl. 4x flowmeter kits, check valve, 4-outlet manifold")</f>
        <v/>
      </c>
      <c r="D26" s="95"/>
      <c r="E26" s="95"/>
      <c r="F26" s="95"/>
      <c r="G26" s="97"/>
      <c r="H26" s="56"/>
      <c r="I26" s="50"/>
      <c r="J26" s="155" t="str">
        <f t="shared" si="1"/>
        <v/>
      </c>
    </row>
    <row r="27" spans="1:10">
      <c r="A27" s="40" t="str">
        <f>IF('Manifold Builder'!E51=0,"",'Manifold Builder'!E51)</f>
        <v/>
      </c>
      <c r="B27" s="84" t="str">
        <f>IF('Manifold Builder'!E51=0,"","20643-00")</f>
        <v/>
      </c>
      <c r="C27" s="703" t="str">
        <f>IF('Manifold Builder'!E51=0,"","3-Outlet EFM Manifold [sub 20633-00 for 90° Check Valve]")</f>
        <v/>
      </c>
      <c r="D27" s="703"/>
      <c r="E27" s="703"/>
      <c r="F27" s="703"/>
      <c r="G27" s="48"/>
      <c r="H27" s="45" t="str">
        <f>IF('Manifold Builder'!E51=0,"",LOOKUP(B27,#REF!,#REF!))</f>
        <v/>
      </c>
      <c r="I27" s="42" t="str">
        <f>IF(A27="","",(A27*H27))</f>
        <v/>
      </c>
      <c r="J27" s="155" t="str">
        <f t="shared" si="1"/>
        <v/>
      </c>
    </row>
    <row r="28" spans="1:10">
      <c r="A28" s="152"/>
      <c r="B28" s="85"/>
      <c r="C28" s="707" t="str">
        <f>IF('Manifold Builder'!E51=0,"","incl. 3x flowmeter kits, check valve, 3-outlet manifold")</f>
        <v/>
      </c>
      <c r="D28" s="707"/>
      <c r="E28" s="707"/>
      <c r="F28" s="707"/>
      <c r="G28" s="707"/>
      <c r="H28" s="56"/>
      <c r="I28" s="50" t="str">
        <f>IF(A28="","",(A28*H28))</f>
        <v/>
      </c>
      <c r="J28" s="155" t="str">
        <f t="shared" si="1"/>
        <v/>
      </c>
    </row>
    <row r="29" spans="1:10">
      <c r="A29" s="40" t="str">
        <f>IF('Manifold Builder'!G51=0,"",'Manifold Builder'!G51)</f>
        <v/>
      </c>
      <c r="B29" s="84" t="str">
        <f>IF('Manifold Builder'!G51=0,"","20642-00")</f>
        <v/>
      </c>
      <c r="C29" s="703" t="str">
        <f>IF('Manifold Builder'!G51=0,"","2-Outlet EFM Manifold [sub 20632-00 for 90° Check Valve]")</f>
        <v/>
      </c>
      <c r="D29" s="703"/>
      <c r="E29" s="703"/>
      <c r="F29" s="703"/>
      <c r="G29" s="48"/>
      <c r="H29" s="45" t="str">
        <f>IF('Manifold Builder'!G51=0,"",LOOKUP(B29,#REF!,#REF!))</f>
        <v/>
      </c>
      <c r="I29" s="42" t="str">
        <f>IF(A29="","",(A29*H29))</f>
        <v/>
      </c>
      <c r="J29" s="155" t="str">
        <f t="shared" si="1"/>
        <v/>
      </c>
    </row>
    <row r="30" spans="1:10">
      <c r="A30" s="152"/>
      <c r="B30" s="85"/>
      <c r="C30" s="707" t="str">
        <f>IF('Manifold Builder'!G51=0,"","incl. 2x flowmeter kits, check valve, 2-outlet manifold")</f>
        <v/>
      </c>
      <c r="D30" s="707"/>
      <c r="E30" s="707"/>
      <c r="F30" s="707"/>
      <c r="G30" s="707"/>
      <c r="H30" s="56"/>
      <c r="I30" s="50" t="str">
        <f>IF(A30="","",(A30*H30))</f>
        <v/>
      </c>
      <c r="J30" s="155" t="str">
        <f t="shared" si="1"/>
        <v/>
      </c>
    </row>
    <row r="31" spans="1:10">
      <c r="A31" s="40" t="str">
        <f>IF('Manifold Builder'!I51=0,"",'Manifold Builder'!I51)</f>
        <v/>
      </c>
      <c r="B31" s="84" t="str">
        <f>IF('Manifold Builder'!I51=0,"","20641-00")</f>
        <v/>
      </c>
      <c r="C31" s="703" t="str">
        <f>IF('Manifold Builder'!I51=0,"","1-Outlet EFM Manifold [sub 20631-00 for 90° Check Valve]")</f>
        <v/>
      </c>
      <c r="D31" s="703"/>
      <c r="E31" s="703"/>
      <c r="F31" s="703"/>
      <c r="G31" s="48"/>
      <c r="H31" s="45" t="str">
        <f>IF('Manifold Builder'!I51=0,"",LOOKUP(B31,#REF!,#REF!))</f>
        <v/>
      </c>
      <c r="I31" s="42" t="str">
        <f>IF('Manifold Builder'!I51=0,"",IF(A31="","",(A31*H31)))</f>
        <v/>
      </c>
      <c r="J31" s="155" t="str">
        <f t="shared" si="1"/>
        <v/>
      </c>
    </row>
    <row r="32" spans="1:10">
      <c r="A32" s="152"/>
      <c r="B32" s="85"/>
      <c r="C32" s="707" t="str">
        <f>IF('Manifold Builder'!I51=0,"","incl. 1x flowmeter kits, check valve, 1-outlet manifold")</f>
        <v/>
      </c>
      <c r="D32" s="707"/>
      <c r="E32" s="707"/>
      <c r="F32" s="707"/>
      <c r="G32" s="707"/>
      <c r="H32" s="56"/>
      <c r="I32" s="50"/>
      <c r="J32" s="155" t="str">
        <f t="shared" si="1"/>
        <v/>
      </c>
    </row>
    <row r="33" spans="1:10">
      <c r="A33" s="698" t="str">
        <f>IF('Manifold Builder'!B55=0,"",CONCATENATE("Parts Specific to ",'PRODUCT 1'!A5))</f>
        <v/>
      </c>
      <c r="B33" s="698"/>
      <c r="C33" s="698"/>
      <c r="D33" s="698"/>
      <c r="E33" s="698"/>
      <c r="F33" s="698"/>
      <c r="G33" s="698"/>
      <c r="H33" s="698"/>
      <c r="I33" s="698"/>
      <c r="J33" s="155" t="str">
        <f t="shared" si="1"/>
        <v/>
      </c>
    </row>
    <row r="34" spans="1:10">
      <c r="A34" s="47" t="str">
        <f>IF('Manifold Builder'!B55=0,"",IF('PRODUCT 1'!A21="NoOutletsRequired","",'Manifold Builder'!B55))</f>
        <v/>
      </c>
      <c r="B34" s="47" t="str">
        <f>IF(A34="","",IF('PRODUCT 1'!$A$21="NoOutletsRequired","",'PRODUCT 1'!$F$19))</f>
        <v/>
      </c>
      <c r="C34" s="15" t="str">
        <f>IF(A34="","",IF('PRODUCT 1'!$A$21="NoOutletsRequired","No outlet required due to existing plumbing",LOOKUP(B34,#REF!,#REF!)))</f>
        <v/>
      </c>
      <c r="D34" s="51"/>
      <c r="E34" s="51"/>
      <c r="F34" s="51"/>
      <c r="G34" s="15"/>
      <c r="H34" s="53" t="str">
        <f>IF(B34="NoOutletRequired","0",IF(ISNUMBER('PRODUCT 1'!$E$5),LOOKUP(B34,#REF!,#REF!),""))</f>
        <v/>
      </c>
      <c r="I34" s="46" t="str">
        <f>IF(A34="","",(A34*H34))</f>
        <v/>
      </c>
      <c r="J34" s="155" t="str">
        <f t="shared" si="1"/>
        <v/>
      </c>
    </row>
    <row r="35" spans="1:10">
      <c r="A35" s="47"/>
      <c r="B35" s="47"/>
      <c r="C35" s="51" t="str">
        <f>IF(A34="","",IF('PRODUCT 1'!$A$21="NoOutletsRequired","",CONCATENATE("ORS Outlets for ",'PRODUCT 1'!A3," Manifolds")))</f>
        <v/>
      </c>
      <c r="D35" s="51"/>
      <c r="E35" s="51"/>
      <c r="F35" s="51"/>
      <c r="G35" s="15"/>
      <c r="H35" s="53"/>
      <c r="I35" s="46"/>
      <c r="J35" s="155" t="str">
        <f t="shared" si="1"/>
        <v/>
      </c>
    </row>
    <row r="36" spans="1:10">
      <c r="A36" s="40" t="str">
        <f>IF('Manifold Builder'!B56=0,"",IF('PRODUCT 1'!$A$28="NoInletRequired","",'Manifold Builder'!B56))</f>
        <v/>
      </c>
      <c r="B36" s="40" t="str">
        <f>IF(A36="","",IF('PRODUCT 1'!$A$28="NoInletRequired","",'PRODUCT 1'!$F$26))</f>
        <v/>
      </c>
      <c r="C36" s="48" t="str">
        <f>IF(A36="","",IF('PRODUCT 1'!$A$28="NoInletRequired","No inlet required due to existing plumbing",LOOKUP(B36,#REF!,#REF!)))</f>
        <v/>
      </c>
      <c r="D36" s="44"/>
      <c r="E36" s="44"/>
      <c r="F36" s="44"/>
      <c r="G36" s="48"/>
      <c r="H36" s="45" t="str">
        <f>IF('PRODUCT 1'!$A$28="NoInletRequired","",IF(ISNUMBER('PRODUCT 1'!$E$5),LOOKUP(B36,#REF!,#REF!),""))</f>
        <v/>
      </c>
      <c r="I36" s="42" t="str">
        <f>IF(A36="","",(A36*H36))</f>
        <v/>
      </c>
      <c r="J36" s="155" t="str">
        <f t="shared" si="1"/>
        <v/>
      </c>
    </row>
    <row r="37" spans="1:10">
      <c r="A37" s="152"/>
      <c r="B37" s="152"/>
      <c r="C37" s="54" t="str">
        <f>IF(A36="","",IF('PRODUCT 1'!$A$28="NoInletRequired","",CONCATENATE("ORS Inlets for ",'PRODUCT 1'!A3," Manifolds")))</f>
        <v/>
      </c>
      <c r="D37" s="54"/>
      <c r="E37" s="54"/>
      <c r="F37" s="54"/>
      <c r="G37" s="97"/>
      <c r="H37" s="56"/>
      <c r="I37" s="50"/>
      <c r="J37" s="155" t="str">
        <f t="shared" si="1"/>
        <v/>
      </c>
    </row>
    <row r="38" spans="1:10">
      <c r="A38" s="40" t="str">
        <f>IF('Manifold Builder'!B56=0,"",IF('PRODUCT 1'!$A$28="NoInletRequired","",'Manifold Builder'!B56))</f>
        <v/>
      </c>
      <c r="B38" s="40" t="str">
        <f>IF(A38="","",IF('PRODUCT 1'!$A$28="NoInletRequired","","20576-00"))</f>
        <v/>
      </c>
      <c r="C38" s="44" t="str">
        <f>IF(A38="","",IF('PRODUCT 1'!$A$28="NoInletRequired","","ORS Inline Strainer, 50 Mesh"))</f>
        <v/>
      </c>
      <c r="D38" s="44"/>
      <c r="E38" s="44"/>
      <c r="F38" s="44"/>
      <c r="G38" s="48"/>
      <c r="H38" s="45" t="str">
        <f>IF('PRODUCT 1'!$A$28="NoInletRequired","",IF(ISNUMBER('PRODUCT 1'!$E$5),LOOKUP(B38,#REF!,#REF!),""))</f>
        <v/>
      </c>
      <c r="I38" s="42" t="str">
        <f>IF(A38="","",(A38*H38))</f>
        <v/>
      </c>
      <c r="J38" s="155" t="str">
        <f t="shared" si="1"/>
        <v/>
      </c>
    </row>
    <row r="39" spans="1:10">
      <c r="A39" s="152"/>
      <c r="B39" s="152"/>
      <c r="C39" s="54" t="str">
        <f>IF(A38="","",IF('PRODUCT 1'!$A$28="NoInletRequired","","[Optional - 1 per manifold inlet]"))</f>
        <v/>
      </c>
      <c r="D39" s="54"/>
      <c r="E39" s="54"/>
      <c r="F39" s="54"/>
      <c r="G39" s="97"/>
      <c r="H39" s="56"/>
      <c r="I39" s="50"/>
      <c r="J39" s="155" t="str">
        <f t="shared" si="1"/>
        <v/>
      </c>
    </row>
    <row r="40" spans="1:10">
      <c r="A40" s="40" t="str">
        <f>IF(ISNUMBER('PRODUCT 1'!$E$5),IF('PRODUCT 1'!$F$21="YES",'PRODUCT 1'!E5,""),"")</f>
        <v/>
      </c>
      <c r="B40" s="40" t="str">
        <f>IF(A40="","",IF(ISBLANK('PRODUCT 1'!E94),"21500-VXX",'PRODUCT 1'!E94))</f>
        <v/>
      </c>
      <c r="C40" s="48" t="str">
        <f>IF(A40="","","Metering Orifice - REPLACE -XX with orifice size")</f>
        <v/>
      </c>
      <c r="D40" s="44"/>
      <c r="E40" s="44"/>
      <c r="F40" s="44"/>
      <c r="G40" s="48"/>
      <c r="H40" s="45" t="str">
        <f>IF(ISNUMBER('PRODUCT 1'!$F$5),LOOKUP(IF(('PRODUCT 1'!$A$16&lt;=0.15),"21500-V005","21500-V04"),#REF!,#REF!),"")</f>
        <v/>
      </c>
      <c r="I40" s="42" t="str">
        <f>IF(A40="","",(A40*H40))</f>
        <v/>
      </c>
      <c r="J40" s="155" t="str">
        <f t="shared" si="1"/>
        <v/>
      </c>
    </row>
    <row r="41" spans="1:10">
      <c r="A41" s="152"/>
      <c r="B41" s="152"/>
      <c r="C41" s="54" t="str">
        <f>IF(ISNUMBER('PRODUCT 1'!$F$5),CONCATENATE("ORS Metering Orifices for ",'PRODUCT 1'!A3," [1 per outlet]"),"")</f>
        <v/>
      </c>
      <c r="D41" s="54"/>
      <c r="E41" s="54"/>
      <c r="F41" s="54"/>
      <c r="G41" s="97"/>
      <c r="H41" s="56"/>
      <c r="I41" s="50"/>
      <c r="J41" s="155" t="str">
        <f t="shared" si="1"/>
        <v/>
      </c>
    </row>
    <row r="42" spans="1:10">
      <c r="A42" s="698" t="str">
        <f>IF('Manifold Builder'!B32=0,"",CONCATENATE("Parts Specific to ",'PRODUCT 2'!A5))</f>
        <v/>
      </c>
      <c r="B42" s="698"/>
      <c r="C42" s="698"/>
      <c r="D42" s="698"/>
      <c r="E42" s="698"/>
      <c r="F42" s="698"/>
      <c r="G42" s="698"/>
      <c r="H42" s="698"/>
      <c r="I42" s="698"/>
      <c r="J42" s="155" t="str">
        <f t="shared" si="1"/>
        <v/>
      </c>
    </row>
    <row r="43" spans="1:10">
      <c r="A43" s="47" t="str">
        <f>IF('Manifold Builder'!$C$55=0,"",IF('PRODUCT 2'!A30="NoOutletsRequired","",'Manifold Builder'!$C$55))</f>
        <v/>
      </c>
      <c r="B43" s="47" t="str">
        <f>IF(A43="","",IF('PRODUCT 2'!$A$21="NoOutletsRequired","",'PRODUCT 2'!$F$19))</f>
        <v/>
      </c>
      <c r="C43" s="15" t="str">
        <f>IF(A43="","",IF('PRODUCT 2'!$A$21="NoOutletsRequired","No outlet required due to existing plumbing",LOOKUP(B43,#REF!,#REF!)))</f>
        <v/>
      </c>
      <c r="D43" s="44"/>
      <c r="E43" s="44"/>
      <c r="F43" s="44"/>
      <c r="G43" s="48"/>
      <c r="H43" s="45" t="str">
        <f>IF(B43="NoOutletRequired","0",IF(ISNUMBER('PRODUCT 2'!$E$5),LOOKUP(B43,#REF!,#REF!),""))</f>
        <v/>
      </c>
      <c r="I43" s="42" t="str">
        <f>IF(A43="","",(A43*H43))</f>
        <v/>
      </c>
      <c r="J43" s="155" t="str">
        <f t="shared" si="1"/>
        <v/>
      </c>
    </row>
    <row r="44" spans="1:10">
      <c r="A44" s="47"/>
      <c r="B44" s="47"/>
      <c r="C44" s="51" t="str">
        <f>IF(A43="","",IF('PRODUCT 2'!$A$21="NoOutletsRequired","",CONCATENATE("ORS Outlets for ",'PRODUCT 2'!A3," Manifolds")))</f>
        <v/>
      </c>
      <c r="D44" s="54"/>
      <c r="E44" s="54"/>
      <c r="F44" s="54"/>
      <c r="G44" s="97"/>
      <c r="H44" s="56"/>
      <c r="I44" s="50"/>
      <c r="J44" s="155" t="str">
        <f t="shared" si="1"/>
        <v/>
      </c>
    </row>
    <row r="45" spans="1:10">
      <c r="A45" s="40" t="str">
        <f>IF('Manifold Builder'!$C$56=0,"",IF('PRODUCT 2'!$A$28="NoInletRequired","",'Manifold Builder'!$C$56))</f>
        <v/>
      </c>
      <c r="B45" s="40" t="str">
        <f>IF(A45="","",IF('PRODUCT 2'!$A$28="NoInletRequired","",'PRODUCT 2'!$F$26))</f>
        <v/>
      </c>
      <c r="C45" s="48" t="str">
        <f>IF(A45="","",IF('PRODUCT 2'!$A$28="NoInletRequired","No inlet required due to existing plumbing",LOOKUP(B45,#REF!,#REF!)))</f>
        <v/>
      </c>
      <c r="D45" s="21"/>
      <c r="E45" s="21"/>
      <c r="F45" s="21"/>
      <c r="G45" s="14"/>
      <c r="H45" s="28" t="str">
        <f>IF(B45="NoInletRequired","0",IF(ISNUMBER('PRODUCT 2'!$E$5),LOOKUP(B45,#REF!,#REF!),""))</f>
        <v/>
      </c>
      <c r="I45" s="25" t="str">
        <f>IF(A45="","",(A45*H45))</f>
        <v/>
      </c>
      <c r="J45" s="155" t="str">
        <f t="shared" si="1"/>
        <v/>
      </c>
    </row>
    <row r="46" spans="1:10">
      <c r="A46" s="152"/>
      <c r="B46" s="152"/>
      <c r="C46" s="54" t="str">
        <f>IF(A45="","",IF('PRODUCT 2'!$A$28="NoInletRequired","",CONCATENATE("ORS Inlets for ",'PRODUCT 2'!A3," Manifolds")))</f>
        <v/>
      </c>
      <c r="D46" s="21"/>
      <c r="E46" s="21"/>
      <c r="F46" s="21"/>
      <c r="G46" s="14"/>
      <c r="H46" s="28"/>
      <c r="I46" s="25"/>
      <c r="J46" s="155" t="str">
        <f t="shared" si="1"/>
        <v/>
      </c>
    </row>
    <row r="47" spans="1:10">
      <c r="A47" s="40" t="str">
        <f>IF('Manifold Builder'!$C$56=0,"",IF('PRODUCT 2'!$A$28="NoInletRequired","",'Manifold Builder'!$C$56))</f>
        <v/>
      </c>
      <c r="B47" s="40" t="str">
        <f>IF(A47="","",IF('PRODUCT 2'!$A$28="NoInletRequired","","20576-00"))</f>
        <v/>
      </c>
      <c r="C47" s="44" t="str">
        <f>IF(A47="","",IF('PRODUCT 2'!$A$28="NoInletRequired","","ORS Inline Strainer, 50 Mesh"))</f>
        <v/>
      </c>
      <c r="D47" s="44"/>
      <c r="E47" s="44"/>
      <c r="F47" s="44"/>
      <c r="G47" s="48"/>
      <c r="H47" s="45" t="str">
        <f>IF(ISNUMBER('PRODUCT 2'!$E$5),LOOKUP(B47,#REF!,#REF!),"")</f>
        <v/>
      </c>
      <c r="I47" s="42" t="str">
        <f>IF(A47="","",(A47*H47))</f>
        <v/>
      </c>
      <c r="J47" s="155" t="str">
        <f t="shared" si="1"/>
        <v/>
      </c>
    </row>
    <row r="48" spans="1:10">
      <c r="A48" s="152"/>
      <c r="B48" s="152"/>
      <c r="C48" s="54" t="str">
        <f>IF(A47="","",IF('PRODUCT 2'!$A$28="NoInletRequired","","[Optional - 1 per manifold inlet]"))</f>
        <v/>
      </c>
      <c r="D48" s="54"/>
      <c r="E48" s="54"/>
      <c r="F48" s="54"/>
      <c r="G48" s="97"/>
      <c r="H48" s="56"/>
      <c r="I48" s="50"/>
      <c r="J48" s="155" t="str">
        <f t="shared" si="1"/>
        <v/>
      </c>
    </row>
    <row r="49" spans="1:10">
      <c r="A49" s="40" t="str">
        <f>IF(ISNUMBER($A$43),IF('PRODUCT 2'!$F$21="YES",A43,""),"")</f>
        <v/>
      </c>
      <c r="B49" s="40" t="str">
        <f>IF(A49="","",IF(ISBLANK('PRODUCT 2'!E94),"21500-VXX",'PRODUCT 2'!E94))</f>
        <v/>
      </c>
      <c r="C49" s="48" t="str">
        <f>IF(A49="","","Metering Orifice - REPLACE -XX with orifice size")</f>
        <v/>
      </c>
      <c r="D49" s="21"/>
      <c r="E49" s="21"/>
      <c r="F49" s="21"/>
      <c r="G49" s="14"/>
      <c r="H49" s="45" t="str">
        <f>IF(ISNUMBER('PRODUCT 2'!$F$5),LOOKUP(IF(('PRODUCT 2'!$A$16&lt;0.15),"21500-V005","21500-V03"),#REF!,#REF!),"")</f>
        <v/>
      </c>
      <c r="I49" s="25" t="str">
        <f>IF(A49="","",(A49*H49))</f>
        <v/>
      </c>
      <c r="J49" s="155" t="str">
        <f t="shared" si="1"/>
        <v/>
      </c>
    </row>
    <row r="50" spans="1:10">
      <c r="A50" s="152"/>
      <c r="B50" s="152"/>
      <c r="C50" s="54" t="str">
        <f>IF(ISNUMBER('PRODUCT 2'!$F$5),CONCATENATE("ORS Metering Orifices for ",'PRODUCT 2'!A3," [1 per outlet]"),"")</f>
        <v/>
      </c>
      <c r="D50" s="21"/>
      <c r="E50" s="21"/>
      <c r="F50" s="21"/>
      <c r="G50" s="14"/>
      <c r="H50" s="28"/>
      <c r="I50" s="25"/>
      <c r="J50" s="155" t="str">
        <f t="shared" si="1"/>
        <v/>
      </c>
    </row>
    <row r="51" spans="1:10">
      <c r="A51" s="698" t="str">
        <f>IF('Manifold Builder'!B48=0,"",CONCATENATE("Parts Specific to ",'PRODUCT 3'!A5))</f>
        <v/>
      </c>
      <c r="B51" s="698"/>
      <c r="C51" s="698"/>
      <c r="D51" s="698"/>
      <c r="E51" s="698"/>
      <c r="F51" s="698"/>
      <c r="G51" s="698"/>
      <c r="H51" s="698"/>
      <c r="I51" s="698"/>
      <c r="J51" s="155" t="str">
        <f t="shared" si="1"/>
        <v/>
      </c>
    </row>
    <row r="52" spans="1:10">
      <c r="A52" s="47" t="str">
        <f>IF('Manifold Builder'!$E$55=0,"",IF('PRODUCT 3'!A39="NoOutletsRequired","",'Manifold Builder'!$E$55))</f>
        <v/>
      </c>
      <c r="B52" s="47" t="str">
        <f>IF(A52="","",IF('PRODUCT 3'!$A$21="NoOutletsRequired","",'PRODUCT 3'!$F$19))</f>
        <v/>
      </c>
      <c r="C52" s="14" t="str">
        <f>IF(ISNUMBER('PRODUCT 3'!$F$5),IF(B52="NoOutletRequired","No outlet required due to existing plumbing",IF(ISNUMBER('PRODUCT 3'!$F$5),LOOKUP(B52,#REF!,#REF!),"")),"")</f>
        <v/>
      </c>
      <c r="D52" s="21"/>
      <c r="E52" s="21"/>
      <c r="F52" s="21"/>
      <c r="G52" s="14"/>
      <c r="H52" s="28" t="str">
        <f>IF(ISNUMBER('PRODUCT 3'!$F$5),IF(B52="NoOutletRequired","0",IF(ISNUMBER('PRODUCT 3'!$F$5),LOOKUP(B52,#REF!,#REF!),"")),"")</f>
        <v/>
      </c>
      <c r="I52" s="25" t="str">
        <f>IF(A52="","",(A52*H52))</f>
        <v/>
      </c>
      <c r="J52" s="155" t="str">
        <f t="shared" si="1"/>
        <v/>
      </c>
    </row>
    <row r="53" spans="1:10">
      <c r="A53" s="47"/>
      <c r="B53" s="47"/>
      <c r="C53" s="21" t="str">
        <f>IF(A52="","",IF('PRODUCT 3'!$A$21="NoOutletsRequired","",CONCATENATE("ORS Outlets for ",'PRODUCT 3'!A3," Manifolds")))</f>
        <v/>
      </c>
      <c r="D53" s="21"/>
      <c r="E53" s="21"/>
      <c r="F53" s="21"/>
      <c r="G53" s="14"/>
      <c r="H53" s="28"/>
      <c r="I53" s="25"/>
      <c r="J53" s="155" t="str">
        <f t="shared" si="1"/>
        <v/>
      </c>
    </row>
    <row r="54" spans="1:10">
      <c r="A54" s="40" t="str">
        <f>IF('Manifold Builder'!$E$56=0,"",IF('PRODUCT 3'!$A$28="NoInletRequired","",'Manifold Builder'!$E$56))</f>
        <v/>
      </c>
      <c r="B54" s="40" t="str">
        <f>IF(A54="","",IF('PRODUCT 3'!$A$28="NoInletRequired","",'PRODUCT 3'!$F$26))</f>
        <v/>
      </c>
      <c r="C54" s="48" t="str">
        <f>IF(ISNUMBER('PRODUCT 3'!$F$5),IF(B54="NoInletRequired","No inlet required due to existing plumbing",IF(ISNUMBER('PRODUCT 3'!$F$5),LOOKUP(B54,#REF!,#REF!),"")),"")</f>
        <v/>
      </c>
      <c r="D54" s="44"/>
      <c r="E54" s="44"/>
      <c r="F54" s="44"/>
      <c r="G54" s="48"/>
      <c r="H54" s="45" t="str">
        <f>IF(ISNUMBER('PRODUCT 3'!$F$5),IF(B54="NoInletRequired","0",IF(ISNUMBER('PRODUCT 3'!$F$5),LOOKUP(B54,#REF!,#REF!),"")),"")</f>
        <v/>
      </c>
      <c r="I54" s="42" t="str">
        <f>IF(A54="","",(A54*H54))</f>
        <v/>
      </c>
      <c r="J54" s="155" t="str">
        <f t="shared" si="1"/>
        <v/>
      </c>
    </row>
    <row r="55" spans="1:10">
      <c r="A55" s="152"/>
      <c r="B55" s="152"/>
      <c r="C55" s="54" t="str">
        <f>IF(ISNUMBER('PRODUCT 3'!$F$5),CONCATENATE("ORS Inlets for ",'PRODUCT 3'!A3),"")</f>
        <v/>
      </c>
      <c r="D55" s="54"/>
      <c r="E55" s="54"/>
      <c r="F55" s="54"/>
      <c r="G55" s="97"/>
      <c r="H55" s="56"/>
      <c r="I55" s="50"/>
      <c r="J55" s="155" t="str">
        <f t="shared" si="1"/>
        <v/>
      </c>
    </row>
    <row r="56" spans="1:10">
      <c r="A56" s="40" t="str">
        <f>IF('Manifold Builder'!$E$56=0,"",IF('PRODUCT 3'!$A$28="NoInletRequired","",'Manifold Builder'!$E$56))</f>
        <v/>
      </c>
      <c r="B56" s="40" t="str">
        <f>IF(A56="","",IF('PRODUCT 3'!$A$28="NoInletRequired","","20576-00"))</f>
        <v/>
      </c>
      <c r="C56" s="21" t="str">
        <f>IF(ISNUMBER('PRODUCT 3'!$F$5),"ORS Inline Strainer, 50 Mesh","")</f>
        <v/>
      </c>
      <c r="D56" s="21"/>
      <c r="E56" s="21"/>
      <c r="F56" s="21"/>
      <c r="G56" s="14"/>
      <c r="H56" s="28" t="str">
        <f>IF(ISNUMBER('PRODUCT 3'!$F$5),LOOKUP(B56,#REF!,#REF!),"")</f>
        <v/>
      </c>
      <c r="I56" s="25" t="str">
        <f>IF(A56="","",(A56*H56))</f>
        <v/>
      </c>
      <c r="J56" s="155" t="str">
        <f t="shared" si="1"/>
        <v/>
      </c>
    </row>
    <row r="57" spans="1:10">
      <c r="A57" s="152"/>
      <c r="B57" s="152"/>
      <c r="C57" s="21" t="str">
        <f>IF(ISNUMBER('PRODUCT 3'!$F$5),"[Optional - 1 per manifold inlet]","")</f>
        <v/>
      </c>
      <c r="D57" s="21"/>
      <c r="E57" s="21"/>
      <c r="F57" s="21"/>
      <c r="G57" s="14"/>
      <c r="H57" s="28"/>
      <c r="I57" s="25"/>
      <c r="J57" s="155" t="str">
        <f t="shared" si="1"/>
        <v/>
      </c>
    </row>
    <row r="58" spans="1:10">
      <c r="A58" s="40" t="str">
        <f>IF(ISNUMBER($A$43),IF('PRODUCT 3'!$F$21="YES",A52,""),"")</f>
        <v/>
      </c>
      <c r="B58" s="40" t="str">
        <f>IF(A58="","",IF(ISBLANK('PRODUCT 3'!E94),"21500-VXX",'PRODUCT 3'!E94))</f>
        <v/>
      </c>
      <c r="C58" s="48" t="str">
        <f>IF(ISNUMBER('PRODUCT 3'!$F$5),"Metering Orifice - REPLACE -XX with orifice size","")</f>
        <v/>
      </c>
      <c r="D58" s="44"/>
      <c r="E58" s="44"/>
      <c r="F58" s="44"/>
      <c r="G58" s="48"/>
      <c r="H58" s="45" t="str">
        <f>IF(ISNUMBER('PRODUCT 3'!$F$5),LOOKUP(IF(('PRODUCT 3'!$A$16&lt;0.15),"21500-V005","21500-V03"),#REF!,#REF!),"")</f>
        <v/>
      </c>
      <c r="I58" s="42" t="str">
        <f>IF(A58="","",(A58*H58))</f>
        <v/>
      </c>
      <c r="J58" s="155" t="str">
        <f t="shared" si="1"/>
        <v/>
      </c>
    </row>
    <row r="59" spans="1:10">
      <c r="A59" s="152"/>
      <c r="B59" s="152"/>
      <c r="C59" s="54" t="str">
        <f>IF(ISNUMBER('PRODUCT 3'!$F$5),CONCATENATE("ORS Metering Orifices for ",'PRODUCT 3'!A3," [1 per outlet]"),"")</f>
        <v/>
      </c>
      <c r="D59" s="54"/>
      <c r="E59" s="54"/>
      <c r="F59" s="54"/>
      <c r="G59" s="97"/>
      <c r="H59" s="56"/>
      <c r="I59" s="50"/>
      <c r="J59" s="155" t="str">
        <f t="shared" si="1"/>
        <v/>
      </c>
    </row>
    <row r="60" spans="1:10">
      <c r="A60" s="722" t="s">
        <v>3550</v>
      </c>
      <c r="B60" s="722"/>
      <c r="C60" s="722"/>
      <c r="D60" s="722"/>
      <c r="E60" s="722"/>
      <c r="F60" s="722"/>
      <c r="G60" s="722"/>
      <c r="H60" s="722"/>
      <c r="I60" s="81" t="e">
        <f>SUM(I7:I19)</f>
        <v>#REF!</v>
      </c>
      <c r="J60" s="142"/>
    </row>
    <row r="61" spans="1:10">
      <c r="A61" s="709" t="s">
        <v>152</v>
      </c>
      <c r="B61" s="709"/>
      <c r="C61" s="709"/>
      <c r="D61" s="709"/>
      <c r="E61" s="709"/>
      <c r="F61" s="709"/>
      <c r="G61" s="709"/>
      <c r="H61" s="709"/>
      <c r="I61" s="82">
        <f>SUM(I23:I59)</f>
        <v>0</v>
      </c>
      <c r="J61" s="142"/>
    </row>
    <row r="62" spans="1:10">
      <c r="A62" s="710"/>
      <c r="B62" s="710"/>
      <c r="C62" s="710"/>
      <c r="D62" s="710"/>
      <c r="E62" s="710"/>
      <c r="F62" s="710"/>
      <c r="G62" s="14"/>
      <c r="H62" s="29" t="s">
        <v>3452</v>
      </c>
      <c r="I62" s="50" t="e">
        <f>SUM(I60:I61)</f>
        <v>#REF!</v>
      </c>
      <c r="J62" s="142"/>
    </row>
    <row r="63" spans="1:10">
      <c r="A63" s="710"/>
      <c r="B63" s="710"/>
      <c r="C63" s="710"/>
      <c r="D63" s="710"/>
      <c r="E63" s="710"/>
      <c r="F63" s="710"/>
      <c r="G63" s="142"/>
      <c r="H63" s="156" t="s">
        <v>3545</v>
      </c>
      <c r="I63" s="101" t="e">
        <f>$F$2*(I60*-1)</f>
        <v>#REF!</v>
      </c>
      <c r="J63" s="142"/>
    </row>
    <row r="64" spans="1:10">
      <c r="A64" s="149"/>
      <c r="B64" s="149"/>
      <c r="C64" s="149"/>
      <c r="D64" s="149"/>
      <c r="E64" s="149"/>
      <c r="F64" s="149"/>
      <c r="G64" s="142"/>
      <c r="H64" s="156" t="s">
        <v>3546</v>
      </c>
      <c r="I64" s="101">
        <f>$F$3*(I61*-1)</f>
        <v>0</v>
      </c>
      <c r="J64" s="142"/>
    </row>
    <row r="65" spans="1:11">
      <c r="A65" s="710"/>
      <c r="B65" s="710"/>
      <c r="C65" s="710"/>
      <c r="D65" s="710"/>
      <c r="E65" s="710"/>
      <c r="F65" s="710"/>
      <c r="G65" s="14"/>
      <c r="H65" s="31" t="s">
        <v>3453</v>
      </c>
      <c r="I65" s="102"/>
      <c r="J65" s="142"/>
    </row>
    <row r="66" spans="1:11">
      <c r="A66" s="14"/>
      <c r="B66" s="14"/>
      <c r="C66" s="14"/>
      <c r="D66" s="14"/>
      <c r="E66" s="14"/>
      <c r="F66" s="14"/>
      <c r="G66" s="14"/>
      <c r="H66" s="31" t="s">
        <v>3454</v>
      </c>
      <c r="I66" s="102"/>
      <c r="J66" s="142"/>
    </row>
    <row r="67" spans="1:11" ht="15.75" thickBot="1">
      <c r="A67" s="14"/>
      <c r="B67" s="14"/>
      <c r="C67" s="14"/>
      <c r="D67" s="14"/>
      <c r="E67" s="14"/>
      <c r="F67" s="14"/>
      <c r="G67" s="14"/>
      <c r="H67" s="32" t="s">
        <v>158</v>
      </c>
      <c r="I67" s="33" t="e">
        <f>SUM(I62:I66)</f>
        <v>#REF!</v>
      </c>
      <c r="J67" s="142"/>
    </row>
    <row r="68" spans="1:11" ht="15.75" thickTop="1">
      <c r="A68" s="14"/>
      <c r="B68" s="14"/>
      <c r="C68" s="14"/>
      <c r="D68" s="14"/>
      <c r="E68" s="14"/>
      <c r="F68" s="14"/>
      <c r="G68" s="14"/>
      <c r="H68" s="14"/>
      <c r="I68" s="14"/>
    </row>
    <row r="69" spans="1:11">
      <c r="A69" s="14"/>
      <c r="B69" s="14"/>
      <c r="C69" s="14"/>
      <c r="D69" s="14"/>
      <c r="E69" s="14"/>
      <c r="F69" s="14"/>
      <c r="G69" s="14"/>
      <c r="H69" s="14"/>
      <c r="I69" s="14"/>
    </row>
    <row r="70" spans="1:11">
      <c r="A70" s="79"/>
      <c r="B70" s="79"/>
      <c r="C70" s="79"/>
      <c r="D70" s="79"/>
      <c r="E70" s="79"/>
      <c r="F70" s="79"/>
      <c r="G70" s="79"/>
      <c r="H70" s="79"/>
      <c r="I70" s="79"/>
    </row>
    <row r="71" spans="1:11">
      <c r="A71" s="699" t="s">
        <v>3458</v>
      </c>
      <c r="B71" s="699"/>
      <c r="C71" s="699"/>
      <c r="D71" s="699"/>
      <c r="E71" s="699"/>
      <c r="F71" s="699"/>
      <c r="G71" s="699"/>
      <c r="H71" s="79"/>
      <c r="I71" s="79"/>
      <c r="J71" s="98"/>
    </row>
    <row r="72" spans="1:11">
      <c r="A72" s="652" t="s">
        <v>3464</v>
      </c>
      <c r="B72" s="652"/>
      <c r="C72" s="652" t="s">
        <v>3481</v>
      </c>
      <c r="D72" s="652" t="s">
        <v>3482</v>
      </c>
      <c r="E72" s="658" t="s">
        <v>122</v>
      </c>
      <c r="F72" s="658"/>
      <c r="G72" s="658"/>
      <c r="H72" s="79"/>
      <c r="I72" s="79"/>
      <c r="J72" s="98"/>
      <c r="K72" s="99"/>
    </row>
    <row r="73" spans="1:11">
      <c r="A73" s="652"/>
      <c r="B73" s="652"/>
      <c r="C73" s="652"/>
      <c r="D73" s="652"/>
      <c r="E73" s="658"/>
      <c r="F73" s="658"/>
      <c r="G73" s="658"/>
      <c r="H73" s="79"/>
      <c r="I73" s="79"/>
      <c r="J73" s="98"/>
      <c r="K73" s="99"/>
    </row>
    <row r="74" spans="1:11" ht="60">
      <c r="A74" s="145" t="s">
        <v>14</v>
      </c>
      <c r="B74" s="145"/>
      <c r="C74" s="652"/>
      <c r="D74" s="652"/>
      <c r="E74" s="103" t="s">
        <v>123</v>
      </c>
      <c r="F74" s="103" t="s">
        <v>124</v>
      </c>
      <c r="G74" s="104" t="s">
        <v>3485</v>
      </c>
      <c r="H74" s="103" t="s">
        <v>3484</v>
      </c>
      <c r="I74" s="79"/>
      <c r="J74" s="98"/>
      <c r="K74" s="99"/>
    </row>
    <row r="75" spans="1:11">
      <c r="A75" s="145" t="s">
        <v>15</v>
      </c>
      <c r="B75" s="79">
        <f>SUM('PRODUCT 3'!B45,'PRODUCT 2'!B45,'PRODUCT 1'!B45)</f>
        <v>0</v>
      </c>
      <c r="C75" s="79">
        <f t="shared" ref="C75:C88" si="2">B75/16</f>
        <v>0</v>
      </c>
      <c r="D75" s="105" t="str">
        <f t="shared" ref="D75:D87" si="3">IF(B75&gt;0,MROUND((C75+0.124),0.25),"")</f>
        <v/>
      </c>
      <c r="E75" s="106">
        <f t="shared" ref="E75:E87" si="4">_xlfn.CEILING.MATH(B75,4)</f>
        <v>0</v>
      </c>
      <c r="F75" s="106">
        <f t="shared" ref="F75:F87" si="5">E75/4</f>
        <v>0</v>
      </c>
      <c r="G75" s="107">
        <f>B75/4</f>
        <v>0</v>
      </c>
      <c r="H75" s="108" t="str">
        <f>IF(4-(4*(G75-TRUNC(G75,0)))=4,"",4-(4*(G75-TRUNC(G75,0))))</f>
        <v/>
      </c>
      <c r="I75" s="106"/>
      <c r="J75" s="98"/>
      <c r="K75" s="99"/>
    </row>
    <row r="76" spans="1:11">
      <c r="A76" s="145" t="s">
        <v>16</v>
      </c>
      <c r="B76" s="79">
        <f>SUM('PRODUCT 3'!B46,'PRODUCT 2'!B46,'PRODUCT 1'!B46)</f>
        <v>0</v>
      </c>
      <c r="C76" s="79">
        <f t="shared" si="2"/>
        <v>0</v>
      </c>
      <c r="D76" s="105" t="str">
        <f t="shared" si="3"/>
        <v/>
      </c>
      <c r="E76" s="106">
        <f t="shared" si="4"/>
        <v>0</v>
      </c>
      <c r="F76" s="106">
        <f t="shared" si="5"/>
        <v>0</v>
      </c>
      <c r="G76" s="107">
        <f t="shared" ref="G76:G87" si="6">B76/4</f>
        <v>0</v>
      </c>
      <c r="H76" s="108" t="str">
        <f t="shared" ref="H76:H87" si="7">IF(4-(4*(G76-TRUNC(G76,0)))=4,"",4-(4*(G76-TRUNC(G76,0))))</f>
        <v/>
      </c>
      <c r="I76" s="106" t="str">
        <f>IF(H75="","",IF(H75+I75&gt;=4,4-(H75+I75),H75+I75))</f>
        <v/>
      </c>
      <c r="J76" s="98"/>
      <c r="K76" s="99"/>
    </row>
    <row r="77" spans="1:11">
      <c r="A77" s="145" t="s">
        <v>17</v>
      </c>
      <c r="B77" s="79">
        <f>SUM('PRODUCT 3'!B47,'PRODUCT 2'!B47,'PRODUCT 1'!B47)</f>
        <v>0</v>
      </c>
      <c r="C77" s="79">
        <f t="shared" si="2"/>
        <v>0</v>
      </c>
      <c r="D77" s="105" t="str">
        <f t="shared" si="3"/>
        <v/>
      </c>
      <c r="E77" s="106">
        <f t="shared" si="4"/>
        <v>0</v>
      </c>
      <c r="F77" s="106">
        <f t="shared" si="5"/>
        <v>0</v>
      </c>
      <c r="G77" s="107">
        <f t="shared" si="6"/>
        <v>0</v>
      </c>
      <c r="H77" s="108" t="str">
        <f t="shared" si="7"/>
        <v/>
      </c>
      <c r="I77" s="106" t="str">
        <f>IF(H76="","",IF(H76+I76&gt;=4,4-(H76+I76),H76+I76))</f>
        <v/>
      </c>
      <c r="J77" s="98"/>
      <c r="K77" s="99"/>
    </row>
    <row r="78" spans="1:11">
      <c r="A78" s="145" t="s">
        <v>18</v>
      </c>
      <c r="B78" s="79">
        <f>SUM('PRODUCT 3'!B48,'PRODUCT 2'!B48,'PRODUCT 1'!B48)</f>
        <v>0</v>
      </c>
      <c r="C78" s="79">
        <f t="shared" si="2"/>
        <v>0</v>
      </c>
      <c r="D78" s="105" t="str">
        <f t="shared" si="3"/>
        <v/>
      </c>
      <c r="E78" s="106">
        <f t="shared" si="4"/>
        <v>0</v>
      </c>
      <c r="F78" s="106">
        <f t="shared" si="5"/>
        <v>0</v>
      </c>
      <c r="G78" s="107">
        <f t="shared" si="6"/>
        <v>0</v>
      </c>
      <c r="H78" s="108" t="str">
        <f t="shared" si="7"/>
        <v/>
      </c>
      <c r="I78" s="106" t="str">
        <f t="shared" ref="I78:I88" si="8">IF(H77="","",IF(H77+I77&gt;=4,4-(H77+I77),H77+I77))</f>
        <v/>
      </c>
      <c r="J78" s="98"/>
      <c r="K78" s="99"/>
    </row>
    <row r="79" spans="1:11">
      <c r="A79" s="145" t="s">
        <v>19</v>
      </c>
      <c r="B79" s="79">
        <f>SUM('PRODUCT 3'!B49,'PRODUCT 2'!B49,'PRODUCT 1'!B49)</f>
        <v>0</v>
      </c>
      <c r="C79" s="79">
        <f t="shared" si="2"/>
        <v>0</v>
      </c>
      <c r="D79" s="105" t="str">
        <f t="shared" si="3"/>
        <v/>
      </c>
      <c r="E79" s="106">
        <f t="shared" si="4"/>
        <v>0</v>
      </c>
      <c r="F79" s="106">
        <f t="shared" si="5"/>
        <v>0</v>
      </c>
      <c r="G79" s="107">
        <f t="shared" si="6"/>
        <v>0</v>
      </c>
      <c r="H79" s="108" t="str">
        <f t="shared" si="7"/>
        <v/>
      </c>
      <c r="I79" s="106" t="str">
        <f t="shared" si="8"/>
        <v/>
      </c>
      <c r="J79" s="98"/>
      <c r="K79" s="99"/>
    </row>
    <row r="80" spans="1:11">
      <c r="A80" s="145" t="s">
        <v>20</v>
      </c>
      <c r="B80" s="79">
        <f>SUM('PRODUCT 3'!B50,'PRODUCT 2'!B50,'PRODUCT 1'!B50)</f>
        <v>0</v>
      </c>
      <c r="C80" s="79">
        <f t="shared" si="2"/>
        <v>0</v>
      </c>
      <c r="D80" s="105" t="str">
        <f t="shared" si="3"/>
        <v/>
      </c>
      <c r="E80" s="106">
        <f t="shared" si="4"/>
        <v>0</v>
      </c>
      <c r="F80" s="106">
        <f t="shared" si="5"/>
        <v>0</v>
      </c>
      <c r="G80" s="107">
        <f t="shared" si="6"/>
        <v>0</v>
      </c>
      <c r="H80" s="108" t="str">
        <f t="shared" si="7"/>
        <v/>
      </c>
      <c r="I80" s="106" t="str">
        <f t="shared" si="8"/>
        <v/>
      </c>
      <c r="J80" s="98"/>
      <c r="K80" s="99"/>
    </row>
    <row r="81" spans="1:11">
      <c r="A81" s="145" t="s">
        <v>21</v>
      </c>
      <c r="B81" s="79">
        <f>SUM('PRODUCT 3'!B51,'PRODUCT 2'!B51,'PRODUCT 1'!B51)</f>
        <v>0</v>
      </c>
      <c r="C81" s="79">
        <f t="shared" si="2"/>
        <v>0</v>
      </c>
      <c r="D81" s="105" t="str">
        <f t="shared" si="3"/>
        <v/>
      </c>
      <c r="E81" s="106">
        <f t="shared" si="4"/>
        <v>0</v>
      </c>
      <c r="F81" s="106">
        <f t="shared" si="5"/>
        <v>0</v>
      </c>
      <c r="G81" s="107">
        <f t="shared" si="6"/>
        <v>0</v>
      </c>
      <c r="H81" s="108" t="str">
        <f t="shared" si="7"/>
        <v/>
      </c>
      <c r="I81" s="106" t="str">
        <f t="shared" si="8"/>
        <v/>
      </c>
      <c r="J81" s="98"/>
      <c r="K81" s="99"/>
    </row>
    <row r="82" spans="1:11">
      <c r="A82" s="145" t="s">
        <v>22</v>
      </c>
      <c r="B82" s="79">
        <f>SUM('PRODUCT 3'!B52,'PRODUCT 2'!B52,'PRODUCT 1'!B52)</f>
        <v>0</v>
      </c>
      <c r="C82" s="79">
        <f t="shared" si="2"/>
        <v>0</v>
      </c>
      <c r="D82" s="105" t="str">
        <f t="shared" si="3"/>
        <v/>
      </c>
      <c r="E82" s="106">
        <f t="shared" si="4"/>
        <v>0</v>
      </c>
      <c r="F82" s="106">
        <f t="shared" si="5"/>
        <v>0</v>
      </c>
      <c r="G82" s="107">
        <f t="shared" si="6"/>
        <v>0</v>
      </c>
      <c r="H82" s="108" t="str">
        <f t="shared" si="7"/>
        <v/>
      </c>
      <c r="I82" s="106" t="str">
        <f t="shared" si="8"/>
        <v/>
      </c>
      <c r="J82" s="98"/>
      <c r="K82" s="99"/>
    </row>
    <row r="83" spans="1:11">
      <c r="A83" s="145" t="s">
        <v>23</v>
      </c>
      <c r="B83" s="79">
        <f>SUM('PRODUCT 3'!B53,'PRODUCT 2'!B53,'PRODUCT 1'!B53)</f>
        <v>0</v>
      </c>
      <c r="C83" s="79">
        <f t="shared" si="2"/>
        <v>0</v>
      </c>
      <c r="D83" s="105" t="str">
        <f t="shared" si="3"/>
        <v/>
      </c>
      <c r="E83" s="106">
        <f t="shared" si="4"/>
        <v>0</v>
      </c>
      <c r="F83" s="106">
        <f t="shared" si="5"/>
        <v>0</v>
      </c>
      <c r="G83" s="107">
        <f t="shared" si="6"/>
        <v>0</v>
      </c>
      <c r="H83" s="108" t="str">
        <f t="shared" si="7"/>
        <v/>
      </c>
      <c r="I83" s="106" t="str">
        <f t="shared" si="8"/>
        <v/>
      </c>
      <c r="J83" s="98"/>
      <c r="K83" s="99"/>
    </row>
    <row r="84" spans="1:11" ht="30">
      <c r="A84" s="145" t="s">
        <v>24</v>
      </c>
      <c r="B84" s="79">
        <f>SUM('PRODUCT 3'!B54,'PRODUCT 2'!B54,'PRODUCT 1'!B54)</f>
        <v>0</v>
      </c>
      <c r="C84" s="79">
        <f t="shared" si="2"/>
        <v>0</v>
      </c>
      <c r="D84" s="105" t="str">
        <f t="shared" si="3"/>
        <v/>
      </c>
      <c r="E84" s="106">
        <f t="shared" si="4"/>
        <v>0</v>
      </c>
      <c r="F84" s="106">
        <f t="shared" si="5"/>
        <v>0</v>
      </c>
      <c r="G84" s="107">
        <f t="shared" si="6"/>
        <v>0</v>
      </c>
      <c r="H84" s="108" t="str">
        <f t="shared" si="7"/>
        <v/>
      </c>
      <c r="I84" s="106" t="str">
        <f t="shared" si="8"/>
        <v/>
      </c>
      <c r="J84" s="98"/>
      <c r="K84" s="99"/>
    </row>
    <row r="85" spans="1:11" ht="30">
      <c r="A85" s="145" t="s">
        <v>25</v>
      </c>
      <c r="B85" s="79">
        <f>SUM('PRODUCT 3'!B55,'PRODUCT 2'!B55,'PRODUCT 1'!B55)</f>
        <v>0</v>
      </c>
      <c r="C85" s="79">
        <f t="shared" si="2"/>
        <v>0</v>
      </c>
      <c r="D85" s="105" t="str">
        <f t="shared" si="3"/>
        <v/>
      </c>
      <c r="E85" s="106">
        <f t="shared" si="4"/>
        <v>0</v>
      </c>
      <c r="F85" s="106">
        <f t="shared" si="5"/>
        <v>0</v>
      </c>
      <c r="G85" s="107">
        <f t="shared" si="6"/>
        <v>0</v>
      </c>
      <c r="H85" s="108" t="str">
        <f t="shared" si="7"/>
        <v/>
      </c>
      <c r="I85" s="106" t="str">
        <f t="shared" si="8"/>
        <v/>
      </c>
      <c r="J85" s="98"/>
      <c r="K85" s="99"/>
    </row>
    <row r="86" spans="1:11" ht="30">
      <c r="A86" s="145" t="s">
        <v>26</v>
      </c>
      <c r="B86" s="79">
        <f>SUM('PRODUCT 3'!B56,'PRODUCT 2'!B56,'PRODUCT 1'!B56)</f>
        <v>0</v>
      </c>
      <c r="C86" s="79">
        <f t="shared" si="2"/>
        <v>0</v>
      </c>
      <c r="D86" s="105" t="str">
        <f t="shared" si="3"/>
        <v/>
      </c>
      <c r="E86" s="106">
        <f t="shared" si="4"/>
        <v>0</v>
      </c>
      <c r="F86" s="106">
        <f t="shared" si="5"/>
        <v>0</v>
      </c>
      <c r="G86" s="107">
        <f t="shared" si="6"/>
        <v>0</v>
      </c>
      <c r="H86" s="108" t="str">
        <f t="shared" si="7"/>
        <v/>
      </c>
      <c r="I86" s="106" t="str">
        <f t="shared" si="8"/>
        <v/>
      </c>
      <c r="J86" s="98"/>
      <c r="K86" s="99"/>
    </row>
    <row r="87" spans="1:11" ht="30">
      <c r="A87" s="145" t="s">
        <v>27</v>
      </c>
      <c r="B87" s="79">
        <f>SUM('PRODUCT 3'!B57,'PRODUCT 2'!B57,'PRODUCT 1'!B57)</f>
        <v>0</v>
      </c>
      <c r="C87" s="79">
        <f t="shared" si="2"/>
        <v>0</v>
      </c>
      <c r="D87" s="105" t="str">
        <f t="shared" si="3"/>
        <v/>
      </c>
      <c r="E87" s="106">
        <f t="shared" si="4"/>
        <v>0</v>
      </c>
      <c r="F87" s="106">
        <f t="shared" si="5"/>
        <v>0</v>
      </c>
      <c r="G87" s="107">
        <f t="shared" si="6"/>
        <v>0</v>
      </c>
      <c r="H87" s="108" t="str">
        <f t="shared" si="7"/>
        <v/>
      </c>
      <c r="I87" s="106" t="str">
        <f t="shared" si="8"/>
        <v/>
      </c>
      <c r="J87" s="98"/>
      <c r="K87" s="99"/>
    </row>
    <row r="88" spans="1:11" ht="60">
      <c r="A88" s="146" t="s">
        <v>30</v>
      </c>
      <c r="B88" s="79">
        <f>SUM(B75:B87)</f>
        <v>0</v>
      </c>
      <c r="C88" s="105">
        <f t="shared" si="2"/>
        <v>0</v>
      </c>
      <c r="D88" s="106">
        <f>SUM(D75:D87)</f>
        <v>0</v>
      </c>
      <c r="E88" s="106"/>
      <c r="F88" s="106">
        <f>SUM(F75:F87)</f>
        <v>0</v>
      </c>
      <c r="G88" s="108">
        <f>SUM(H75:H87)</f>
        <v>0</v>
      </c>
      <c r="H88" s="79"/>
      <c r="I88" s="106" t="str">
        <f t="shared" si="8"/>
        <v/>
      </c>
      <c r="J88" s="98"/>
      <c r="K88" s="99"/>
    </row>
    <row r="89" spans="1:11">
      <c r="A89" s="658" t="s">
        <v>125</v>
      </c>
      <c r="B89" s="658"/>
      <c r="C89" s="109">
        <f>ROUNDUP(C88,0)</f>
        <v>0</v>
      </c>
      <c r="D89" s="658" t="s">
        <v>3483</v>
      </c>
      <c r="E89" s="110" t="str">
        <f>IF(C88=0,"",(1-_xlfn.CEILING.MATH((C88-TRUNC(C88)),0.25))*4)</f>
        <v/>
      </c>
      <c r="F89" s="658" t="s">
        <v>3457</v>
      </c>
      <c r="G89" s="106">
        <v>0</v>
      </c>
      <c r="H89" s="79"/>
      <c r="I89" s="79" t="e">
        <f>(E89*4)+G89+B88</f>
        <v>#VALUE!</v>
      </c>
      <c r="J89" s="100" t="e">
        <f>MOD(I89,16)=0</f>
        <v>#VALUE!</v>
      </c>
    </row>
    <row r="90" spans="1:11">
      <c r="A90" s="658"/>
      <c r="B90" s="658"/>
      <c r="C90" s="109"/>
      <c r="D90" s="658"/>
      <c r="E90" s="79" t="s">
        <v>3469</v>
      </c>
      <c r="F90" s="658"/>
      <c r="G90" s="79" t="s">
        <v>3469</v>
      </c>
      <c r="H90" s="79"/>
      <c r="I90" s="79"/>
      <c r="J90" s="98"/>
    </row>
    <row r="91" spans="1:11">
      <c r="A91" s="658" t="s">
        <v>126</v>
      </c>
      <c r="B91" s="658"/>
      <c r="C91" s="105">
        <f>ROUNDUP(D88,0)</f>
        <v>0</v>
      </c>
      <c r="D91" s="658" t="s">
        <v>148</v>
      </c>
      <c r="E91" s="110" t="str">
        <f>IF(D88=0,"",(1-_xlfn.CEILING.MATH((D88-TRUNC(D88)),0.25))*4)</f>
        <v/>
      </c>
      <c r="F91" s="658" t="s">
        <v>3457</v>
      </c>
      <c r="G91" s="79">
        <f>SUM('PRODUCT 1'!F58,'PRODUCT 2'!F58,'PRODUCT 3'!F58)</f>
        <v>0</v>
      </c>
      <c r="H91" s="79"/>
      <c r="I91" s="79" t="e">
        <f>(E91*4)+G91+B88</f>
        <v>#VALUE!</v>
      </c>
      <c r="J91" s="98" t="e">
        <f t="shared" ref="J91" si="9">MOD(I91,16)=0</f>
        <v>#VALUE!</v>
      </c>
    </row>
    <row r="92" spans="1:11">
      <c r="A92" s="658"/>
      <c r="B92" s="658"/>
      <c r="C92" s="79"/>
      <c r="D92" s="658"/>
      <c r="E92" s="79" t="s">
        <v>3470</v>
      </c>
      <c r="F92" s="658"/>
      <c r="G92" s="79" t="s">
        <v>3468</v>
      </c>
      <c r="H92" s="79"/>
      <c r="I92" s="79"/>
      <c r="J92" s="98"/>
    </row>
    <row r="93" spans="1:11">
      <c r="A93" s="79"/>
      <c r="B93" s="79"/>
      <c r="C93" s="79"/>
      <c r="D93" s="79"/>
      <c r="E93" s="79"/>
      <c r="F93" s="79"/>
      <c r="G93" s="79"/>
      <c r="H93" s="79"/>
      <c r="I93" s="79"/>
      <c r="J93" s="98"/>
    </row>
    <row r="94" spans="1:11">
      <c r="A94" s="79"/>
      <c r="B94" s="79"/>
      <c r="C94" s="79"/>
      <c r="D94" s="79"/>
      <c r="E94" s="79"/>
      <c r="F94" s="79"/>
      <c r="G94" s="79"/>
      <c r="H94" s="79"/>
      <c r="I94" s="79"/>
      <c r="J94" s="99"/>
    </row>
    <row r="95" spans="1:11">
      <c r="A95" s="79"/>
      <c r="B95" s="79"/>
      <c r="C95" s="79"/>
      <c r="D95" s="79"/>
      <c r="E95" s="79"/>
      <c r="F95" s="79"/>
      <c r="G95" s="79"/>
      <c r="H95" s="79"/>
      <c r="I95" s="79"/>
      <c r="J95" s="99"/>
    </row>
    <row r="96" spans="1:11">
      <c r="A96" s="79"/>
      <c r="B96" s="79"/>
      <c r="C96" s="79"/>
      <c r="D96" s="79"/>
      <c r="E96" s="79"/>
      <c r="F96" s="79"/>
      <c r="G96" s="79"/>
      <c r="H96" s="79"/>
      <c r="I96" s="79"/>
      <c r="J96" s="99"/>
    </row>
    <row r="97" spans="1:9">
      <c r="A97" s="79"/>
      <c r="B97" s="79"/>
      <c r="C97" s="79"/>
      <c r="D97" s="79"/>
      <c r="E97" s="79"/>
      <c r="F97" s="79"/>
      <c r="G97" s="79"/>
      <c r="H97" s="79"/>
      <c r="I97" s="79"/>
    </row>
    <row r="98" spans="1:9">
      <c r="A98" s="79"/>
      <c r="B98" s="79"/>
      <c r="C98" s="79"/>
      <c r="D98" s="79"/>
      <c r="E98" s="79"/>
      <c r="F98" s="79"/>
      <c r="G98" s="79"/>
      <c r="H98" s="79"/>
      <c r="I98" s="79"/>
    </row>
    <row r="99" spans="1:9">
      <c r="A99" s="79"/>
      <c r="B99" s="79"/>
      <c r="C99" s="79"/>
      <c r="D99" s="79"/>
      <c r="E99" s="79"/>
      <c r="F99" s="79"/>
      <c r="G99" s="79"/>
      <c r="H99" s="79"/>
      <c r="I99" s="79"/>
    </row>
    <row r="100" spans="1:9">
      <c r="A100" s="79"/>
      <c r="B100" s="79"/>
      <c r="C100" s="79"/>
      <c r="D100" s="79"/>
      <c r="E100" s="79"/>
      <c r="F100" s="79"/>
      <c r="G100" s="79"/>
      <c r="H100" s="79"/>
      <c r="I100" s="79"/>
    </row>
    <row r="101" spans="1:9">
      <c r="A101" s="79"/>
      <c r="B101" s="79"/>
      <c r="C101" s="79"/>
      <c r="D101" s="79"/>
      <c r="E101" s="79"/>
      <c r="F101" s="79"/>
      <c r="G101" s="79"/>
      <c r="H101" s="79"/>
      <c r="I101" s="79"/>
    </row>
    <row r="102" spans="1:9">
      <c r="A102" s="79"/>
      <c r="B102" s="79"/>
      <c r="C102" s="79"/>
      <c r="D102" s="79"/>
      <c r="E102" s="79"/>
      <c r="F102" s="79"/>
      <c r="G102" s="79"/>
      <c r="H102" s="79"/>
      <c r="I102" s="79"/>
    </row>
    <row r="103" spans="1:9">
      <c r="A103" s="79"/>
      <c r="B103" s="79"/>
      <c r="C103" s="79"/>
      <c r="D103" s="79"/>
      <c r="E103" s="79"/>
      <c r="F103" s="79"/>
      <c r="G103" s="79"/>
      <c r="H103" s="79"/>
      <c r="I103" s="79"/>
    </row>
    <row r="104" spans="1:9">
      <c r="A104" s="79"/>
      <c r="B104" s="79"/>
      <c r="C104" s="79"/>
      <c r="D104" s="79"/>
      <c r="E104" s="79"/>
      <c r="F104" s="79"/>
      <c r="G104" s="79"/>
      <c r="H104" s="79"/>
      <c r="I104" s="79"/>
    </row>
    <row r="105" spans="1:9">
      <c r="A105" s="79"/>
      <c r="B105" s="79"/>
      <c r="C105" s="79"/>
      <c r="D105" s="79"/>
      <c r="E105" s="79"/>
      <c r="F105" s="79"/>
      <c r="G105" s="79"/>
      <c r="H105" s="79"/>
      <c r="I105" s="79"/>
    </row>
    <row r="106" spans="1:9">
      <c r="A106" s="14"/>
      <c r="B106" s="14"/>
      <c r="C106" s="14"/>
      <c r="D106" s="14"/>
      <c r="E106" s="14"/>
      <c r="F106" s="14"/>
      <c r="G106" s="14"/>
      <c r="H106" s="14"/>
      <c r="I106" s="14"/>
    </row>
  </sheetData>
  <sheetProtection sheet="1" selectLockedCells="1"/>
  <dataConsolidate/>
  <mergeCells count="41">
    <mergeCell ref="C28:G28"/>
    <mergeCell ref="A1:I1"/>
    <mergeCell ref="A3:E3"/>
    <mergeCell ref="A2:C2"/>
    <mergeCell ref="A60:H60"/>
    <mergeCell ref="A4:I4"/>
    <mergeCell ref="C6:F6"/>
    <mergeCell ref="C7:G7"/>
    <mergeCell ref="C8:G8"/>
    <mergeCell ref="A51:I51"/>
    <mergeCell ref="C29:F29"/>
    <mergeCell ref="C30:G30"/>
    <mergeCell ref="C31:F31"/>
    <mergeCell ref="C32:G32"/>
    <mergeCell ref="A33:I33"/>
    <mergeCell ref="A42:I42"/>
    <mergeCell ref="A20:I20"/>
    <mergeCell ref="C22:F22"/>
    <mergeCell ref="C25:F25"/>
    <mergeCell ref="C27:F27"/>
    <mergeCell ref="C9:G9"/>
    <mergeCell ref="C10:G10"/>
    <mergeCell ref="C11:G11"/>
    <mergeCell ref="C13:F13"/>
    <mergeCell ref="C14:F14"/>
    <mergeCell ref="J3:J6"/>
    <mergeCell ref="A89:B90"/>
    <mergeCell ref="D89:D90"/>
    <mergeCell ref="F89:F90"/>
    <mergeCell ref="A91:B92"/>
    <mergeCell ref="D91:D92"/>
    <mergeCell ref="F91:F92"/>
    <mergeCell ref="A61:H61"/>
    <mergeCell ref="A62:F62"/>
    <mergeCell ref="A63:F63"/>
    <mergeCell ref="A65:F65"/>
    <mergeCell ref="A71:G71"/>
    <mergeCell ref="A72:B73"/>
    <mergeCell ref="C72:C74"/>
    <mergeCell ref="D72:D74"/>
    <mergeCell ref="E72:G73"/>
  </mergeCells>
  <conditionalFormatting sqref="D2">
    <cfRule type="notContainsBlanks" dxfId="3" priority="1">
      <formula>LEN(TRIM(D2))&gt;0</formula>
    </cfRule>
  </conditionalFormatting>
  <dataValidations count="1">
    <dataValidation type="list" allowBlank="1" showInputMessage="1" showErrorMessage="1" sqref="D2" xr:uid="{765BB8B4-7D7A-4867-B88B-0DE2CA16AC0B}">
      <formula1>currency</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E054C-0F34-44F0-B46D-F947FA964A11}">
  <sheetPr codeName="Sheet2"/>
  <dimension ref="A1:CM315"/>
  <sheetViews>
    <sheetView zoomScale="130" zoomScaleNormal="130" workbookViewId="0">
      <pane xSplit="2" ySplit="9" topLeftCell="C10" activePane="bottomRight" state="frozen"/>
      <selection activeCell="E26" sqref="E26"/>
      <selection pane="topRight" activeCell="E26" sqref="E26"/>
      <selection pane="bottomLeft" activeCell="E26" sqref="E26"/>
      <selection pane="bottomRight" activeCell="A7" sqref="A7"/>
    </sheetView>
  </sheetViews>
  <sheetFormatPr defaultRowHeight="10.5"/>
  <cols>
    <col min="1" max="1" width="1" style="161" customWidth="1"/>
    <col min="2" max="2" width="7.140625" style="158" customWidth="1"/>
    <col min="3" max="8" width="3.140625" style="158" customWidth="1"/>
    <col min="9" max="18" width="3.140625" style="160" customWidth="1"/>
    <col min="19" max="41" width="2.7109375" style="160" customWidth="1"/>
    <col min="42" max="42" width="2.85546875" style="160" customWidth="1"/>
    <col min="43" max="85" width="2.7109375" style="160" customWidth="1"/>
    <col min="86" max="91" width="2.42578125" style="159" customWidth="1"/>
    <col min="92" max="16384" width="9.140625" style="158"/>
  </cols>
  <sheetData>
    <row r="1" spans="1:91" ht="14.25" customHeight="1">
      <c r="A1" s="450"/>
      <c r="B1" s="449" t="s">
        <v>3638</v>
      </c>
      <c r="C1" s="164"/>
      <c r="D1" s="164"/>
      <c r="E1" s="164"/>
      <c r="F1" s="164"/>
      <c r="G1" s="164"/>
      <c r="H1" s="164"/>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2"/>
      <c r="CI1" s="162"/>
      <c r="CJ1" s="162"/>
      <c r="CK1" s="162"/>
      <c r="CL1" s="162"/>
      <c r="CM1" s="162"/>
    </row>
    <row r="2" spans="1:91" ht="5.25" customHeight="1">
      <c r="A2" s="448"/>
      <c r="B2" s="164"/>
      <c r="C2" s="164"/>
      <c r="D2" s="164"/>
      <c r="E2" s="164"/>
      <c r="F2" s="164"/>
      <c r="G2" s="164"/>
      <c r="H2" s="164"/>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2"/>
      <c r="CI2" s="162"/>
      <c r="CJ2" s="162"/>
      <c r="CK2" s="162"/>
      <c r="CL2" s="162"/>
      <c r="CM2" s="162"/>
    </row>
    <row r="3" spans="1:91" ht="12" customHeight="1">
      <c r="A3" s="448"/>
      <c r="B3" s="164"/>
      <c r="C3" s="162" t="s">
        <v>3637</v>
      </c>
      <c r="D3" s="164"/>
      <c r="E3" s="164"/>
      <c r="F3" s="164"/>
      <c r="G3" s="164"/>
      <c r="H3" s="164"/>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2"/>
      <c r="CI3" s="162"/>
      <c r="CJ3" s="162"/>
      <c r="CK3" s="162"/>
      <c r="CL3" s="162"/>
      <c r="CM3" s="162"/>
    </row>
    <row r="4" spans="1:91" ht="12" customHeight="1">
      <c r="A4" s="448"/>
      <c r="B4" s="164"/>
      <c r="C4" s="162" t="s">
        <v>3636</v>
      </c>
      <c r="D4" s="164"/>
      <c r="E4" s="164"/>
      <c r="F4" s="164"/>
      <c r="G4" s="164"/>
      <c r="H4" s="164"/>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2"/>
      <c r="CI4" s="162"/>
      <c r="CJ4" s="162"/>
      <c r="CK4" s="162"/>
      <c r="CL4" s="162"/>
      <c r="CM4" s="162"/>
    </row>
    <row r="5" spans="1:91" ht="4.5" customHeight="1">
      <c r="A5" s="448"/>
      <c r="B5" s="164"/>
      <c r="C5" s="162"/>
      <c r="D5" s="164"/>
      <c r="E5" s="164"/>
      <c r="F5" s="164"/>
      <c r="G5" s="164"/>
      <c r="H5" s="164"/>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2"/>
      <c r="CI5" s="162"/>
      <c r="CJ5" s="162"/>
      <c r="CK5" s="162"/>
      <c r="CL5" s="162"/>
      <c r="CM5" s="162"/>
    </row>
    <row r="6" spans="1:91" ht="12" customHeight="1">
      <c r="A6" s="448">
        <f>'PRODUCT 1'!A16</f>
        <v>0</v>
      </c>
      <c r="B6" s="164"/>
      <c r="C6" s="164" t="s">
        <v>3635</v>
      </c>
      <c r="D6" s="164"/>
      <c r="E6" s="164"/>
      <c r="F6" s="164"/>
      <c r="G6" s="164"/>
      <c r="H6" s="164"/>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2"/>
      <c r="CI6" s="162"/>
      <c r="CJ6" s="162"/>
      <c r="CK6" s="162"/>
      <c r="CL6" s="162"/>
      <c r="CM6" s="162"/>
    </row>
    <row r="7" spans="1:91" ht="11.25" customHeight="1" thickBot="1">
      <c r="A7" s="447">
        <f>IF(A6&lt;0.1,CEILING(A6,0.001),IF(A6&lt;1,CEILING(A6,0.01),IF(A6&lt;5,CEILING(A6,0.05),CEILING(A6,0.1))))</f>
        <v>0</v>
      </c>
      <c r="B7" s="446"/>
      <c r="C7" s="164"/>
      <c r="D7" s="164"/>
      <c r="F7" s="725" t="s">
        <v>3634</v>
      </c>
      <c r="G7" s="725"/>
      <c r="H7" s="725"/>
      <c r="I7" s="725"/>
      <c r="J7" s="725"/>
      <c r="K7" s="725"/>
      <c r="L7" s="725"/>
      <c r="M7" s="725"/>
      <c r="N7" s="725"/>
      <c r="O7" s="725"/>
      <c r="P7" s="725"/>
      <c r="Q7" s="725"/>
      <c r="R7" s="725"/>
      <c r="S7" s="725"/>
      <c r="T7" s="725"/>
      <c r="U7" s="725"/>
      <c r="V7" s="725"/>
      <c r="W7" s="725"/>
      <c r="X7" s="445" t="s">
        <v>3633</v>
      </c>
      <c r="Y7" s="444"/>
      <c r="Z7" s="445"/>
      <c r="AA7" s="445"/>
      <c r="AB7" s="445"/>
      <c r="AC7" s="445"/>
      <c r="AD7" s="445"/>
      <c r="AE7" s="445"/>
      <c r="AF7" s="445"/>
      <c r="AG7" s="445"/>
      <c r="AH7" s="445"/>
      <c r="AI7" s="445"/>
      <c r="AJ7" s="445"/>
      <c r="AK7" s="445"/>
      <c r="AL7" s="445"/>
      <c r="AM7" s="445"/>
      <c r="AN7" s="444"/>
      <c r="AO7" s="444"/>
      <c r="AP7" s="444"/>
      <c r="AQ7" s="444"/>
      <c r="AR7" s="444"/>
      <c r="AS7" s="444"/>
      <c r="AT7" s="444"/>
      <c r="AU7" s="444"/>
      <c r="AV7" s="444"/>
      <c r="AW7" s="444"/>
      <c r="AX7" s="444"/>
      <c r="AY7" s="444"/>
      <c r="AZ7" s="444"/>
      <c r="BA7" s="444"/>
      <c r="BB7" s="444"/>
      <c r="BC7" s="444"/>
      <c r="BD7" s="444"/>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444"/>
      <c r="CC7" s="444"/>
      <c r="CD7" s="444"/>
      <c r="CE7" s="444"/>
      <c r="CF7" s="444"/>
      <c r="CG7" s="444"/>
      <c r="CH7" s="443"/>
      <c r="CI7" s="443"/>
      <c r="CJ7" s="443"/>
      <c r="CK7" s="443"/>
      <c r="CL7" s="443"/>
      <c r="CM7" s="443"/>
    </row>
    <row r="8" spans="1:91" ht="86.25" customHeight="1" thickBot="1">
      <c r="A8" s="442"/>
      <c r="B8" s="441" t="s">
        <v>3632</v>
      </c>
      <c r="C8" s="439" t="s">
        <v>3630</v>
      </c>
      <c r="D8" s="438" t="s">
        <v>3629</v>
      </c>
      <c r="E8" s="437" t="s">
        <v>3628</v>
      </c>
      <c r="F8" s="436" t="s">
        <v>3627</v>
      </c>
      <c r="G8" s="435" t="s">
        <v>3626</v>
      </c>
      <c r="H8" s="440" t="s">
        <v>3631</v>
      </c>
      <c r="I8" s="439" t="s">
        <v>3630</v>
      </c>
      <c r="J8" s="438" t="s">
        <v>3629</v>
      </c>
      <c r="K8" s="437" t="s">
        <v>3628</v>
      </c>
      <c r="L8" s="436" t="s">
        <v>3627</v>
      </c>
      <c r="M8" s="435" t="s">
        <v>3626</v>
      </c>
      <c r="N8" s="439" t="s">
        <v>3630</v>
      </c>
      <c r="O8" s="438" t="s">
        <v>3629</v>
      </c>
      <c r="P8" s="437" t="s">
        <v>3628</v>
      </c>
      <c r="Q8" s="436" t="s">
        <v>3627</v>
      </c>
      <c r="R8" s="435" t="s">
        <v>3626</v>
      </c>
      <c r="S8" s="434" t="s">
        <v>3625</v>
      </c>
      <c r="T8" s="417" t="s">
        <v>3624</v>
      </c>
      <c r="U8" s="433" t="s">
        <v>3623</v>
      </c>
      <c r="V8" s="417" t="s">
        <v>3622</v>
      </c>
      <c r="W8" s="416" t="s">
        <v>3621</v>
      </c>
      <c r="X8" s="432" t="s">
        <v>720</v>
      </c>
      <c r="Y8" s="417" t="s">
        <v>3620</v>
      </c>
      <c r="Z8" s="416" t="s">
        <v>3619</v>
      </c>
      <c r="AA8" s="431" t="s">
        <v>3618</v>
      </c>
      <c r="AB8" s="417" t="s">
        <v>3617</v>
      </c>
      <c r="AC8" s="416" t="s">
        <v>3616</v>
      </c>
      <c r="AD8" s="430" t="s">
        <v>724</v>
      </c>
      <c r="AE8" s="417" t="s">
        <v>3615</v>
      </c>
      <c r="AF8" s="429" t="s">
        <v>726</v>
      </c>
      <c r="AG8" s="416" t="s">
        <v>3614</v>
      </c>
      <c r="AH8" s="417" t="s">
        <v>3613</v>
      </c>
      <c r="AI8" s="428" t="s">
        <v>728</v>
      </c>
      <c r="AJ8" s="416" t="s">
        <v>3612</v>
      </c>
      <c r="AK8" s="417" t="s">
        <v>3611</v>
      </c>
      <c r="AL8" s="427" t="s">
        <v>730</v>
      </c>
      <c r="AM8" s="416" t="s">
        <v>3610</v>
      </c>
      <c r="AN8" s="417" t="s">
        <v>3609</v>
      </c>
      <c r="AO8" s="426" t="s">
        <v>732</v>
      </c>
      <c r="AP8" s="416" t="s">
        <v>3608</v>
      </c>
      <c r="AQ8" s="417" t="s">
        <v>3607</v>
      </c>
      <c r="AR8" s="425" t="s">
        <v>734</v>
      </c>
      <c r="AS8" s="416" t="s">
        <v>3606</v>
      </c>
      <c r="AT8" s="417" t="s">
        <v>3605</v>
      </c>
      <c r="AU8" s="416" t="s">
        <v>3604</v>
      </c>
      <c r="AV8" s="424" t="s">
        <v>736</v>
      </c>
      <c r="AW8" s="417" t="s">
        <v>3603</v>
      </c>
      <c r="AX8" s="423" t="s">
        <v>738</v>
      </c>
      <c r="AY8" s="416" t="s">
        <v>3602</v>
      </c>
      <c r="AZ8" s="417" t="s">
        <v>3601</v>
      </c>
      <c r="BA8" s="416" t="s">
        <v>3600</v>
      </c>
      <c r="BB8" s="417" t="s">
        <v>3599</v>
      </c>
      <c r="BC8" s="422" t="s">
        <v>740</v>
      </c>
      <c r="BD8" s="416" t="s">
        <v>3598</v>
      </c>
      <c r="BE8" s="417" t="s">
        <v>3597</v>
      </c>
      <c r="BF8" s="416" t="s">
        <v>3596</v>
      </c>
      <c r="BG8" s="421" t="s">
        <v>742</v>
      </c>
      <c r="BH8" s="417" t="s">
        <v>3595</v>
      </c>
      <c r="BI8" s="416" t="s">
        <v>3594</v>
      </c>
      <c r="BJ8" s="420" t="s">
        <v>744</v>
      </c>
      <c r="BK8" s="417" t="s">
        <v>3593</v>
      </c>
      <c r="BL8" s="416" t="s">
        <v>3592</v>
      </c>
      <c r="BM8" s="419" t="s">
        <v>746</v>
      </c>
      <c r="BN8" s="417" t="s">
        <v>3591</v>
      </c>
      <c r="BO8" s="416" t="s">
        <v>3590</v>
      </c>
      <c r="BP8" s="417" t="s">
        <v>3589</v>
      </c>
      <c r="BQ8" s="416" t="s">
        <v>3588</v>
      </c>
      <c r="BR8" s="418" t="s">
        <v>748</v>
      </c>
      <c r="BS8" s="417" t="s">
        <v>3587</v>
      </c>
      <c r="BT8" s="416" t="s">
        <v>3586</v>
      </c>
      <c r="BU8" s="417" t="s">
        <v>3585</v>
      </c>
      <c r="BV8" s="416" t="s">
        <v>3584</v>
      </c>
      <c r="BW8" s="417" t="s">
        <v>3583</v>
      </c>
      <c r="BX8" s="416" t="s">
        <v>3582</v>
      </c>
      <c r="BY8" s="417" t="s">
        <v>3581</v>
      </c>
      <c r="BZ8" s="416" t="s">
        <v>3580</v>
      </c>
      <c r="CA8" s="417" t="s">
        <v>3579</v>
      </c>
      <c r="CB8" s="416" t="s">
        <v>3578</v>
      </c>
      <c r="CC8" s="417" t="s">
        <v>3577</v>
      </c>
      <c r="CD8" s="416" t="s">
        <v>3576</v>
      </c>
      <c r="CE8" s="417" t="s">
        <v>3575</v>
      </c>
      <c r="CF8" s="416" t="s">
        <v>3574</v>
      </c>
      <c r="CG8" s="417" t="s">
        <v>3573</v>
      </c>
      <c r="CH8" s="416" t="s">
        <v>3572</v>
      </c>
      <c r="CI8" s="417" t="s">
        <v>3571</v>
      </c>
      <c r="CJ8" s="416" t="s">
        <v>3570</v>
      </c>
      <c r="CK8" s="417" t="s">
        <v>3569</v>
      </c>
      <c r="CL8" s="416" t="s">
        <v>3568</v>
      </c>
      <c r="CM8" s="415" t="s">
        <v>3567</v>
      </c>
    </row>
    <row r="9" spans="1:91" ht="10.5" customHeight="1" thickBot="1">
      <c r="A9" s="414"/>
      <c r="B9" s="413" t="s">
        <v>3566</v>
      </c>
      <c r="C9" s="746" t="s">
        <v>3565</v>
      </c>
      <c r="D9" s="746"/>
      <c r="E9" s="746"/>
      <c r="F9" s="746"/>
      <c r="G9" s="746"/>
      <c r="H9" s="747"/>
      <c r="I9" s="748" t="s">
        <v>3564</v>
      </c>
      <c r="J9" s="746"/>
      <c r="K9" s="746"/>
      <c r="L9" s="746"/>
      <c r="M9" s="749"/>
      <c r="N9" s="750" t="s">
        <v>3563</v>
      </c>
      <c r="O9" s="746"/>
      <c r="P9" s="746"/>
      <c r="Q9" s="746"/>
      <c r="R9" s="747"/>
      <c r="S9" s="271"/>
      <c r="T9" s="286"/>
      <c r="U9" s="209"/>
      <c r="V9" s="207"/>
      <c r="W9" s="206"/>
      <c r="X9" s="412"/>
      <c r="Y9" s="207"/>
      <c r="Z9" s="206"/>
      <c r="AA9" s="411"/>
      <c r="AB9" s="207"/>
      <c r="AC9" s="206"/>
      <c r="AD9" s="410"/>
      <c r="AE9" s="207"/>
      <c r="AF9" s="409"/>
      <c r="AG9" s="206"/>
      <c r="AH9" s="208"/>
      <c r="AI9" s="408"/>
      <c r="AJ9" s="206"/>
      <c r="AK9" s="207"/>
      <c r="AL9" s="407"/>
      <c r="AM9" s="206"/>
      <c r="AN9" s="207"/>
      <c r="AO9" s="406"/>
      <c r="AP9" s="206"/>
      <c r="AQ9" s="207"/>
      <c r="AR9" s="405"/>
      <c r="AS9" s="206"/>
      <c r="AT9" s="207"/>
      <c r="AU9" s="206"/>
      <c r="AV9" s="404"/>
      <c r="AW9" s="207"/>
      <c r="AX9" s="403"/>
      <c r="AY9" s="206"/>
      <c r="AZ9" s="207"/>
      <c r="BA9" s="206"/>
      <c r="BB9" s="207"/>
      <c r="BC9" s="206"/>
      <c r="BD9" s="206"/>
      <c r="BE9" s="207"/>
      <c r="BF9" s="206"/>
      <c r="BG9" s="402"/>
      <c r="BH9" s="207"/>
      <c r="BI9" s="206"/>
      <c r="BJ9" s="401"/>
      <c r="BK9" s="207"/>
      <c r="BL9" s="206"/>
      <c r="BM9" s="400"/>
      <c r="BN9" s="207"/>
      <c r="BO9" s="206"/>
      <c r="BP9" s="207"/>
      <c r="BQ9" s="206"/>
      <c r="BR9" s="399"/>
      <c r="BS9" s="207"/>
      <c r="BT9" s="206"/>
      <c r="BU9" s="207"/>
      <c r="BV9" s="206"/>
      <c r="BW9" s="207"/>
      <c r="BX9" s="206"/>
      <c r="BY9" s="207"/>
      <c r="BZ9" s="206"/>
      <c r="CA9" s="207"/>
      <c r="CB9" s="206"/>
      <c r="CC9" s="207"/>
      <c r="CD9" s="206"/>
      <c r="CE9" s="207"/>
      <c r="CF9" s="206"/>
      <c r="CG9" s="207"/>
      <c r="CH9" s="206"/>
      <c r="CI9" s="207"/>
      <c r="CJ9" s="206"/>
      <c r="CK9" s="207"/>
      <c r="CL9" s="206"/>
      <c r="CM9" s="254"/>
    </row>
    <row r="10" spans="1:91" ht="10.5" customHeight="1" thickBot="1">
      <c r="A10" s="179" t="str">
        <f t="shared" ref="A10:A73" si="0">IF(B10=$A$7,"this row","")</f>
        <v/>
      </c>
      <c r="B10" s="358">
        <v>4.0000000000000001E-3</v>
      </c>
      <c r="C10" s="212"/>
      <c r="D10" s="212"/>
      <c r="E10" s="212"/>
      <c r="F10" s="212"/>
      <c r="G10" s="212"/>
      <c r="H10" s="211"/>
      <c r="I10" s="212"/>
      <c r="J10" s="212"/>
      <c r="K10" s="212"/>
      <c r="L10" s="212"/>
      <c r="M10" s="398"/>
      <c r="N10" s="212"/>
      <c r="O10" s="212"/>
      <c r="P10" s="212"/>
      <c r="Q10" s="212"/>
      <c r="R10" s="398"/>
      <c r="S10" s="271">
        <f xml:space="preserve"> 30*(B10/B$15)^2</f>
        <v>5.9259259259259265</v>
      </c>
      <c r="T10" s="286"/>
      <c r="U10" s="209"/>
      <c r="V10" s="207"/>
      <c r="W10" s="206"/>
      <c r="X10" s="206"/>
      <c r="Y10" s="207"/>
      <c r="Z10" s="206"/>
      <c r="AA10" s="206"/>
      <c r="AB10" s="207"/>
      <c r="AC10" s="206"/>
      <c r="AD10" s="388"/>
      <c r="AE10" s="207"/>
      <c r="AF10" s="206"/>
      <c r="AG10" s="206"/>
      <c r="AH10" s="208"/>
      <c r="AI10" s="206"/>
      <c r="AJ10" s="206"/>
      <c r="AK10" s="207"/>
      <c r="AL10" s="206"/>
      <c r="AM10" s="206"/>
      <c r="AN10" s="207"/>
      <c r="AO10" s="206"/>
      <c r="AP10" s="206"/>
      <c r="AQ10" s="207"/>
      <c r="AR10" s="206"/>
      <c r="AS10" s="206"/>
      <c r="AT10" s="207"/>
      <c r="AU10" s="206"/>
      <c r="AV10" s="206"/>
      <c r="AW10" s="207"/>
      <c r="AX10" s="206"/>
      <c r="AY10" s="206"/>
      <c r="AZ10" s="207"/>
      <c r="BA10" s="206"/>
      <c r="BB10" s="207"/>
      <c r="BC10" s="206"/>
      <c r="BD10" s="206"/>
      <c r="BE10" s="207"/>
      <c r="BF10" s="206"/>
      <c r="BG10" s="206"/>
      <c r="BH10" s="207"/>
      <c r="BI10" s="206"/>
      <c r="BJ10" s="206"/>
      <c r="BK10" s="207"/>
      <c r="BL10" s="206"/>
      <c r="BM10" s="206"/>
      <c r="BN10" s="207"/>
      <c r="BO10" s="206"/>
      <c r="BP10" s="207"/>
      <c r="BQ10" s="206"/>
      <c r="BR10" s="206"/>
      <c r="BS10" s="207"/>
      <c r="BT10" s="206"/>
      <c r="BU10" s="207"/>
      <c r="BV10" s="206"/>
      <c r="BW10" s="207"/>
      <c r="BX10" s="206"/>
      <c r="BY10" s="207"/>
      <c r="BZ10" s="206"/>
      <c r="CA10" s="207"/>
      <c r="CB10" s="206"/>
      <c r="CC10" s="207"/>
      <c r="CD10" s="206"/>
      <c r="CE10" s="207"/>
      <c r="CF10" s="206"/>
      <c r="CG10" s="207"/>
      <c r="CH10" s="206"/>
      <c r="CI10" s="207"/>
      <c r="CJ10" s="206"/>
      <c r="CK10" s="207"/>
      <c r="CL10" s="206"/>
      <c r="CM10" s="254"/>
    </row>
    <row r="11" spans="1:91" ht="10.5" customHeight="1">
      <c r="A11" s="179" t="str">
        <f t="shared" si="0"/>
        <v/>
      </c>
      <c r="B11" s="359">
        <v>5.0000000000000001E-3</v>
      </c>
      <c r="C11" s="200"/>
      <c r="D11" s="200"/>
      <c r="E11" s="200"/>
      <c r="F11" s="200"/>
      <c r="G11" s="200"/>
      <c r="H11" s="199"/>
      <c r="I11" s="200"/>
      <c r="J11" s="200"/>
      <c r="K11" s="200"/>
      <c r="L11" s="200"/>
      <c r="M11" s="397"/>
      <c r="N11" s="200"/>
      <c r="O11" s="200"/>
      <c r="P11" s="200"/>
      <c r="Q11" s="200"/>
      <c r="R11" s="397"/>
      <c r="S11" s="192">
        <f xml:space="preserve"> 30*(B11/B$15)^2</f>
        <v>9.2592592592592595</v>
      </c>
      <c r="T11" s="274">
        <f t="shared" ref="T11:T19" si="1" xml:space="preserve"> 30*(B11/B$20)^2</f>
        <v>3.8265306122448979</v>
      </c>
      <c r="U11" s="197"/>
      <c r="V11" s="194"/>
      <c r="W11" s="195"/>
      <c r="X11" s="195"/>
      <c r="Y11" s="194"/>
      <c r="Z11" s="195"/>
      <c r="AA11" s="195"/>
      <c r="AB11" s="194"/>
      <c r="AC11" s="195"/>
      <c r="AD11" s="391"/>
      <c r="AE11" s="194"/>
      <c r="AF11" s="195"/>
      <c r="AG11" s="195"/>
      <c r="AH11" s="196"/>
      <c r="AI11" s="195"/>
      <c r="AJ11" s="195"/>
      <c r="AK11" s="194"/>
      <c r="AL11" s="195"/>
      <c r="AM11" s="195"/>
      <c r="AN11" s="194"/>
      <c r="AO11" s="195"/>
      <c r="AP11" s="195"/>
      <c r="AQ11" s="194"/>
      <c r="AR11" s="195"/>
      <c r="AS11" s="195"/>
      <c r="AT11" s="194"/>
      <c r="AU11" s="195"/>
      <c r="AV11" s="195"/>
      <c r="AW11" s="194"/>
      <c r="AX11" s="195"/>
      <c r="AY11" s="195"/>
      <c r="AZ11" s="194"/>
      <c r="BA11" s="195"/>
      <c r="BB11" s="194"/>
      <c r="BC11" s="195"/>
      <c r="BD11" s="195"/>
      <c r="BE11" s="194"/>
      <c r="BF11" s="195"/>
      <c r="BG11" s="195"/>
      <c r="BH11" s="194"/>
      <c r="BI11" s="195"/>
      <c r="BJ11" s="195"/>
      <c r="BK11" s="194"/>
      <c r="BL11" s="195"/>
      <c r="BM11" s="195"/>
      <c r="BN11" s="194"/>
      <c r="BO11" s="195"/>
      <c r="BP11" s="194"/>
      <c r="BQ11" s="195"/>
      <c r="BR11" s="195"/>
      <c r="BS11" s="194"/>
      <c r="BT11" s="195"/>
      <c r="BU11" s="194"/>
      <c r="BV11" s="195"/>
      <c r="BW11" s="194"/>
      <c r="BX11" s="195"/>
      <c r="BY11" s="194"/>
      <c r="BZ11" s="195"/>
      <c r="CA11" s="194"/>
      <c r="CB11" s="195"/>
      <c r="CC11" s="194"/>
      <c r="CD11" s="195"/>
      <c r="CE11" s="194"/>
      <c r="CF11" s="195"/>
      <c r="CG11" s="194"/>
      <c r="CH11" s="195"/>
      <c r="CI11" s="194"/>
      <c r="CJ11" s="195"/>
      <c r="CK11" s="194"/>
      <c r="CL11" s="195"/>
      <c r="CM11" s="258"/>
    </row>
    <row r="12" spans="1:91" ht="10.5" customHeight="1">
      <c r="A12" s="179" t="str">
        <f t="shared" si="0"/>
        <v/>
      </c>
      <c r="B12" s="358">
        <v>6.0000000000000001E-3</v>
      </c>
      <c r="C12" s="726" t="s">
        <v>3562</v>
      </c>
      <c r="D12" s="727"/>
      <c r="E12" s="727"/>
      <c r="F12" s="727"/>
      <c r="G12" s="727"/>
      <c r="H12" s="728"/>
      <c r="I12" s="726" t="s">
        <v>3561</v>
      </c>
      <c r="J12" s="727"/>
      <c r="K12" s="727"/>
      <c r="L12" s="727"/>
      <c r="M12" s="728"/>
      <c r="N12" s="726" t="s">
        <v>3560</v>
      </c>
      <c r="O12" s="727"/>
      <c r="P12" s="727"/>
      <c r="Q12" s="727"/>
      <c r="R12" s="728"/>
      <c r="S12" s="181">
        <f xml:space="preserve"> 30*(B12/B$15)^2</f>
        <v>13.333333333333336</v>
      </c>
      <c r="T12" s="180">
        <f t="shared" si="1"/>
        <v>5.5102040816326525</v>
      </c>
      <c r="U12" s="186"/>
      <c r="V12" s="183"/>
      <c r="W12" s="184"/>
      <c r="X12" s="184"/>
      <c r="Y12" s="183"/>
      <c r="Z12" s="184"/>
      <c r="AA12" s="184"/>
      <c r="AB12" s="183"/>
      <c r="AC12" s="184"/>
      <c r="AD12" s="390"/>
      <c r="AE12" s="183"/>
      <c r="AF12" s="184"/>
      <c r="AG12" s="184"/>
      <c r="AH12" s="185"/>
      <c r="AI12" s="184"/>
      <c r="AJ12" s="184"/>
      <c r="AK12" s="183"/>
      <c r="AL12" s="184"/>
      <c r="AM12" s="184"/>
      <c r="AN12" s="183"/>
      <c r="AO12" s="184"/>
      <c r="AP12" s="184"/>
      <c r="AQ12" s="183"/>
      <c r="AR12" s="184"/>
      <c r="AS12" s="184"/>
      <c r="AT12" s="183"/>
      <c r="AU12" s="184"/>
      <c r="AV12" s="184"/>
      <c r="AW12" s="183"/>
      <c r="AX12" s="184"/>
      <c r="AY12" s="184"/>
      <c r="AZ12" s="183"/>
      <c r="BA12" s="184"/>
      <c r="BB12" s="183"/>
      <c r="BC12" s="184"/>
      <c r="BD12" s="184"/>
      <c r="BE12" s="183"/>
      <c r="BF12" s="184"/>
      <c r="BG12" s="184"/>
      <c r="BH12" s="183"/>
      <c r="BI12" s="184"/>
      <c r="BJ12" s="184"/>
      <c r="BK12" s="183"/>
      <c r="BL12" s="184"/>
      <c r="BM12" s="184"/>
      <c r="BN12" s="183"/>
      <c r="BO12" s="184"/>
      <c r="BP12" s="183"/>
      <c r="BQ12" s="184"/>
      <c r="BR12" s="184"/>
      <c r="BS12" s="183"/>
      <c r="BT12" s="184"/>
      <c r="BU12" s="183"/>
      <c r="BV12" s="184"/>
      <c r="BW12" s="183"/>
      <c r="BX12" s="184"/>
      <c r="BY12" s="183"/>
      <c r="BZ12" s="184"/>
      <c r="CA12" s="183"/>
      <c r="CB12" s="184"/>
      <c r="CC12" s="183"/>
      <c r="CD12" s="184"/>
      <c r="CE12" s="183"/>
      <c r="CF12" s="184"/>
      <c r="CG12" s="183"/>
      <c r="CH12" s="184"/>
      <c r="CI12" s="183"/>
      <c r="CJ12" s="184"/>
      <c r="CK12" s="183"/>
      <c r="CL12" s="184"/>
      <c r="CM12" s="256"/>
    </row>
    <row r="13" spans="1:91" ht="10.5" customHeight="1" thickBot="1">
      <c r="A13" s="179" t="str">
        <f t="shared" si="0"/>
        <v/>
      </c>
      <c r="B13" s="358">
        <v>7.0000000000000001E-3</v>
      </c>
      <c r="C13" s="729"/>
      <c r="D13" s="730"/>
      <c r="E13" s="730"/>
      <c r="F13" s="730"/>
      <c r="G13" s="730"/>
      <c r="H13" s="731"/>
      <c r="I13" s="729"/>
      <c r="J13" s="730"/>
      <c r="K13" s="730"/>
      <c r="L13" s="730"/>
      <c r="M13" s="731"/>
      <c r="N13" s="729"/>
      <c r="O13" s="730"/>
      <c r="P13" s="730"/>
      <c r="Q13" s="730"/>
      <c r="R13" s="731"/>
      <c r="S13" s="181">
        <f xml:space="preserve"> 30*(B13/B$15)^2</f>
        <v>18.148148148148156</v>
      </c>
      <c r="T13" s="180">
        <f t="shared" si="1"/>
        <v>7.5</v>
      </c>
      <c r="U13" s="186"/>
      <c r="V13" s="185"/>
      <c r="W13" s="184"/>
      <c r="X13" s="184"/>
      <c r="Y13" s="183"/>
      <c r="Z13" s="278" t="s">
        <v>3553</v>
      </c>
      <c r="AA13" s="278"/>
      <c r="AB13" s="183"/>
      <c r="AC13" s="184"/>
      <c r="AD13" s="390"/>
      <c r="AE13" s="183"/>
      <c r="AF13" s="184"/>
      <c r="AG13" s="184"/>
      <c r="AH13" s="185"/>
      <c r="AI13" s="184"/>
      <c r="AJ13" s="184"/>
      <c r="AK13" s="183"/>
      <c r="AL13" s="184"/>
      <c r="AM13" s="184"/>
      <c r="AN13" s="183"/>
      <c r="AO13" s="184"/>
      <c r="AP13" s="184"/>
      <c r="AQ13" s="183"/>
      <c r="AR13" s="184"/>
      <c r="AS13" s="184"/>
      <c r="AT13" s="183"/>
      <c r="AU13" s="184"/>
      <c r="AV13" s="184"/>
      <c r="AW13" s="183"/>
      <c r="AX13" s="184"/>
      <c r="AY13" s="184"/>
      <c r="AZ13" s="183"/>
      <c r="BA13" s="184"/>
      <c r="BB13" s="183"/>
      <c r="BC13" s="184"/>
      <c r="BD13" s="184"/>
      <c r="BE13" s="183"/>
      <c r="BF13" s="184"/>
      <c r="BG13" s="184"/>
      <c r="BH13" s="183"/>
      <c r="BI13" s="184"/>
      <c r="BJ13" s="184"/>
      <c r="BK13" s="183"/>
      <c r="BL13" s="184"/>
      <c r="BM13" s="184"/>
      <c r="BN13" s="183"/>
      <c r="BO13" s="184"/>
      <c r="BP13" s="183"/>
      <c r="BQ13" s="184"/>
      <c r="BR13" s="184"/>
      <c r="BS13" s="183"/>
      <c r="BT13" s="184"/>
      <c r="BU13" s="183"/>
      <c r="BV13" s="184"/>
      <c r="BW13" s="183"/>
      <c r="BX13" s="184"/>
      <c r="BY13" s="183"/>
      <c r="BZ13" s="184"/>
      <c r="CA13" s="183"/>
      <c r="CB13" s="184"/>
      <c r="CC13" s="183"/>
      <c r="CD13" s="184"/>
      <c r="CE13" s="183"/>
      <c r="CF13" s="184"/>
      <c r="CG13" s="183"/>
      <c r="CH13" s="184"/>
      <c r="CI13" s="183"/>
      <c r="CJ13" s="184"/>
      <c r="CK13" s="183"/>
      <c r="CL13" s="184"/>
      <c r="CM13" s="256"/>
    </row>
    <row r="14" spans="1:91" ht="10.5" customHeight="1">
      <c r="A14" s="179" t="str">
        <f t="shared" si="0"/>
        <v/>
      </c>
      <c r="B14" s="360">
        <v>8.0000000000000002E-3</v>
      </c>
      <c r="C14" s="726" t="s">
        <v>3559</v>
      </c>
      <c r="D14" s="727"/>
      <c r="E14" s="727"/>
      <c r="F14" s="727"/>
      <c r="G14" s="727"/>
      <c r="H14" s="728"/>
      <c r="I14" s="726" t="s">
        <v>3559</v>
      </c>
      <c r="J14" s="727"/>
      <c r="K14" s="727"/>
      <c r="L14" s="727"/>
      <c r="M14" s="728"/>
      <c r="N14" s="726" t="s">
        <v>3559</v>
      </c>
      <c r="O14" s="727"/>
      <c r="P14" s="727"/>
      <c r="Q14" s="727"/>
      <c r="R14" s="728"/>
      <c r="S14" s="203">
        <f xml:space="preserve"> 30*(B14/B$15)^2</f>
        <v>23.703703703703706</v>
      </c>
      <c r="T14" s="225">
        <f t="shared" si="1"/>
        <v>9.7959183673469372</v>
      </c>
      <c r="U14" s="271">
        <f t="shared" ref="U14:U24" si="2" xml:space="preserve"> 30*(B14/B$25)^2</f>
        <v>5.3185595567867043</v>
      </c>
      <c r="V14" s="286"/>
      <c r="W14" s="206"/>
      <c r="X14" s="206"/>
      <c r="Y14" s="207"/>
      <c r="Z14" s="206"/>
      <c r="AA14" s="206"/>
      <c r="AB14" s="207"/>
      <c r="AC14" s="206"/>
      <c r="AD14" s="388"/>
      <c r="AE14" s="207"/>
      <c r="AF14" s="206"/>
      <c r="AG14" s="206"/>
      <c r="AH14" s="208"/>
      <c r="AI14" s="206"/>
      <c r="AJ14" s="206"/>
      <c r="AK14" s="207"/>
      <c r="AL14" s="206"/>
      <c r="AM14" s="206"/>
      <c r="AN14" s="207"/>
      <c r="AO14" s="206"/>
      <c r="AP14" s="206"/>
      <c r="AQ14" s="207"/>
      <c r="AR14" s="206"/>
      <c r="AS14" s="206"/>
      <c r="AT14" s="207"/>
      <c r="AU14" s="206"/>
      <c r="AV14" s="206"/>
      <c r="AW14" s="207"/>
      <c r="AX14" s="206"/>
      <c r="AY14" s="206"/>
      <c r="AZ14" s="207"/>
      <c r="BA14" s="206"/>
      <c r="BB14" s="207"/>
      <c r="BC14" s="206"/>
      <c r="BD14" s="206"/>
      <c r="BE14" s="207"/>
      <c r="BF14" s="206"/>
      <c r="BG14" s="206"/>
      <c r="BH14" s="207"/>
      <c r="BI14" s="206"/>
      <c r="BJ14" s="206"/>
      <c r="BK14" s="207"/>
      <c r="BL14" s="206"/>
      <c r="BM14" s="206"/>
      <c r="BN14" s="207"/>
      <c r="BO14" s="206"/>
      <c r="BP14" s="207"/>
      <c r="BQ14" s="206"/>
      <c r="BR14" s="206"/>
      <c r="BS14" s="207"/>
      <c r="BT14" s="206"/>
      <c r="BU14" s="207"/>
      <c r="BV14" s="206"/>
      <c r="BW14" s="207"/>
      <c r="BX14" s="206"/>
      <c r="BY14" s="207"/>
      <c r="BZ14" s="206"/>
      <c r="CA14" s="207"/>
      <c r="CB14" s="206"/>
      <c r="CC14" s="207"/>
      <c r="CD14" s="206"/>
      <c r="CE14" s="207"/>
      <c r="CF14" s="206"/>
      <c r="CG14" s="207"/>
      <c r="CH14" s="206"/>
      <c r="CI14" s="207"/>
      <c r="CJ14" s="206"/>
      <c r="CK14" s="207"/>
      <c r="CL14" s="206"/>
      <c r="CM14" s="254"/>
    </row>
    <row r="15" spans="1:91" ht="10.5" customHeight="1" thickBot="1">
      <c r="A15" s="179" t="str">
        <f t="shared" si="0"/>
        <v/>
      </c>
      <c r="B15" s="359">
        <v>8.9999999999999993E-3</v>
      </c>
      <c r="C15" s="729"/>
      <c r="D15" s="730"/>
      <c r="E15" s="730"/>
      <c r="F15" s="730"/>
      <c r="G15" s="730"/>
      <c r="H15" s="731"/>
      <c r="I15" s="729"/>
      <c r="J15" s="730"/>
      <c r="K15" s="730"/>
      <c r="L15" s="730"/>
      <c r="M15" s="731"/>
      <c r="N15" s="729"/>
      <c r="O15" s="730"/>
      <c r="P15" s="730"/>
      <c r="Q15" s="730"/>
      <c r="R15" s="731"/>
      <c r="S15" s="396">
        <v>30</v>
      </c>
      <c r="T15" s="223">
        <f t="shared" si="1"/>
        <v>12.397959183673466</v>
      </c>
      <c r="U15" s="192">
        <f t="shared" si="2"/>
        <v>6.731301939058171</v>
      </c>
      <c r="V15" s="285"/>
      <c r="W15" s="195"/>
      <c r="X15" s="195"/>
      <c r="Y15" s="194"/>
      <c r="Z15" s="195"/>
      <c r="AA15" s="195"/>
      <c r="AB15" s="194"/>
      <c r="AC15" s="195"/>
      <c r="AD15" s="391"/>
      <c r="AE15" s="194"/>
      <c r="AF15" s="195"/>
      <c r="AG15" s="195"/>
      <c r="AH15" s="196"/>
      <c r="AI15" s="195"/>
      <c r="AJ15" s="195"/>
      <c r="AK15" s="194"/>
      <c r="AL15" s="195"/>
      <c r="AM15" s="195"/>
      <c r="AN15" s="194"/>
      <c r="AO15" s="195"/>
      <c r="AP15" s="195"/>
      <c r="AQ15" s="194"/>
      <c r="AR15" s="195"/>
      <c r="AS15" s="195"/>
      <c r="AT15" s="194"/>
      <c r="AU15" s="195"/>
      <c r="AV15" s="195"/>
      <c r="AW15" s="194"/>
      <c r="AX15" s="195"/>
      <c r="AY15" s="195"/>
      <c r="AZ15" s="194"/>
      <c r="BA15" s="195"/>
      <c r="BB15" s="194"/>
      <c r="BC15" s="195"/>
      <c r="BD15" s="195"/>
      <c r="BE15" s="194"/>
      <c r="BF15" s="195"/>
      <c r="BG15" s="195"/>
      <c r="BH15" s="194"/>
      <c r="BI15" s="195"/>
      <c r="BJ15" s="195"/>
      <c r="BK15" s="194"/>
      <c r="BL15" s="195"/>
      <c r="BM15" s="195"/>
      <c r="BN15" s="194"/>
      <c r="BO15" s="195"/>
      <c r="BP15" s="194"/>
      <c r="BQ15" s="195"/>
      <c r="BR15" s="195"/>
      <c r="BS15" s="194"/>
      <c r="BT15" s="195"/>
      <c r="BU15" s="194"/>
      <c r="BV15" s="195"/>
      <c r="BW15" s="194"/>
      <c r="BX15" s="195"/>
      <c r="BY15" s="194"/>
      <c r="BZ15" s="195"/>
      <c r="CA15" s="194"/>
      <c r="CB15" s="195"/>
      <c r="CC15" s="194"/>
      <c r="CD15" s="195"/>
      <c r="CE15" s="194"/>
      <c r="CF15" s="195"/>
      <c r="CG15" s="194"/>
      <c r="CH15" s="195"/>
      <c r="CI15" s="194"/>
      <c r="CJ15" s="195"/>
      <c r="CK15" s="194"/>
      <c r="CL15" s="195"/>
      <c r="CM15" s="258"/>
    </row>
    <row r="16" spans="1:91" ht="10.5" customHeight="1">
      <c r="A16" s="179" t="str">
        <f t="shared" si="0"/>
        <v/>
      </c>
      <c r="B16" s="358">
        <v>0.01</v>
      </c>
      <c r="C16" s="726" t="s">
        <v>3558</v>
      </c>
      <c r="D16" s="727"/>
      <c r="E16" s="727"/>
      <c r="F16" s="727"/>
      <c r="G16" s="727"/>
      <c r="H16" s="728"/>
      <c r="I16" s="726" t="s">
        <v>3557</v>
      </c>
      <c r="J16" s="727"/>
      <c r="K16" s="727"/>
      <c r="L16" s="727"/>
      <c r="M16" s="728"/>
      <c r="N16" s="726" t="s">
        <v>3556</v>
      </c>
      <c r="O16" s="727"/>
      <c r="P16" s="727"/>
      <c r="Q16" s="727"/>
      <c r="R16" s="728"/>
      <c r="S16" s="181">
        <f xml:space="preserve"> 30*(B16/B$15)^2</f>
        <v>37.037037037037038</v>
      </c>
      <c r="T16" s="221">
        <f t="shared" si="1"/>
        <v>15.306122448979592</v>
      </c>
      <c r="U16" s="214">
        <f t="shared" si="2"/>
        <v>8.3102493074792232</v>
      </c>
      <c r="V16" s="240">
        <f t="shared" ref="V16:V30" si="3" xml:space="preserve"> 30*(B16/B$31)^2</f>
        <v>4.7999999999999989</v>
      </c>
      <c r="W16" s="284"/>
      <c r="X16" s="284"/>
      <c r="Y16" s="183"/>
      <c r="Z16" s="184"/>
      <c r="AA16" s="184"/>
      <c r="AB16" s="183"/>
      <c r="AC16" s="184"/>
      <c r="AD16" s="390"/>
      <c r="AE16" s="183"/>
      <c r="AF16" s="184"/>
      <c r="AG16" s="184"/>
      <c r="AH16" s="185"/>
      <c r="AI16" s="184"/>
      <c r="AJ16" s="184"/>
      <c r="AK16" s="183"/>
      <c r="AL16" s="184"/>
      <c r="AM16" s="184"/>
      <c r="AN16" s="183"/>
      <c r="AO16" s="184"/>
      <c r="AP16" s="184"/>
      <c r="AQ16" s="183"/>
      <c r="AR16" s="184"/>
      <c r="AS16" s="184"/>
      <c r="AT16" s="183"/>
      <c r="AU16" s="184"/>
      <c r="AV16" s="184"/>
      <c r="AW16" s="183"/>
      <c r="AX16" s="184"/>
      <c r="AY16" s="184"/>
      <c r="AZ16" s="183"/>
      <c r="BA16" s="184"/>
      <c r="BB16" s="183"/>
      <c r="BC16" s="184"/>
      <c r="BD16" s="184"/>
      <c r="BE16" s="183"/>
      <c r="BF16" s="184"/>
      <c r="BG16" s="184"/>
      <c r="BH16" s="183"/>
      <c r="BI16" s="184"/>
      <c r="BJ16" s="184"/>
      <c r="BK16" s="183"/>
      <c r="BL16" s="184"/>
      <c r="BM16" s="184"/>
      <c r="BN16" s="183"/>
      <c r="BO16" s="184"/>
      <c r="BP16" s="183"/>
      <c r="BQ16" s="184"/>
      <c r="BR16" s="184"/>
      <c r="BS16" s="183"/>
      <c r="BT16" s="184"/>
      <c r="BU16" s="183"/>
      <c r="BV16" s="184"/>
      <c r="BW16" s="183"/>
      <c r="BX16" s="184"/>
      <c r="BY16" s="183"/>
      <c r="BZ16" s="184"/>
      <c r="CA16" s="183"/>
      <c r="CB16" s="184"/>
      <c r="CC16" s="183"/>
      <c r="CD16" s="184"/>
      <c r="CE16" s="183"/>
      <c r="CF16" s="184"/>
      <c r="CG16" s="183"/>
      <c r="CH16" s="184"/>
      <c r="CI16" s="183"/>
      <c r="CJ16" s="184"/>
      <c r="CK16" s="183"/>
      <c r="CL16" s="184"/>
      <c r="CM16" s="256"/>
    </row>
    <row r="17" spans="1:91" ht="10.5" customHeight="1">
      <c r="A17" s="179" t="str">
        <f t="shared" si="0"/>
        <v/>
      </c>
      <c r="B17" s="358">
        <v>1.0999999999999999E-2</v>
      </c>
      <c r="C17" s="729"/>
      <c r="D17" s="730"/>
      <c r="E17" s="730"/>
      <c r="F17" s="730"/>
      <c r="G17" s="730"/>
      <c r="H17" s="731"/>
      <c r="I17" s="729"/>
      <c r="J17" s="730"/>
      <c r="K17" s="730"/>
      <c r="L17" s="730"/>
      <c r="M17" s="731"/>
      <c r="N17" s="729"/>
      <c r="O17" s="730"/>
      <c r="P17" s="730"/>
      <c r="Q17" s="730"/>
      <c r="R17" s="731"/>
      <c r="S17" s="181">
        <f xml:space="preserve"> 30*(B17/B$15)^2</f>
        <v>44.814814814814824</v>
      </c>
      <c r="T17" s="221">
        <f t="shared" si="1"/>
        <v>18.520408163265305</v>
      </c>
      <c r="U17" s="214">
        <f t="shared" si="2"/>
        <v>10.055401662049862</v>
      </c>
      <c r="V17" s="180">
        <f t="shared" si="3"/>
        <v>5.8079999999999989</v>
      </c>
      <c r="W17" s="284"/>
      <c r="X17" s="284"/>
      <c r="Y17" s="183"/>
      <c r="Z17" s="184"/>
      <c r="AA17" s="184"/>
      <c r="AB17" s="183"/>
      <c r="AC17" s="184"/>
      <c r="AD17" s="390"/>
      <c r="AE17" s="183"/>
      <c r="AF17" s="184"/>
      <c r="AG17" s="184"/>
      <c r="AH17" s="185"/>
      <c r="AI17" s="184"/>
      <c r="AJ17" s="184"/>
      <c r="AK17" s="183"/>
      <c r="AL17" s="184"/>
      <c r="AM17" s="184"/>
      <c r="AN17" s="183"/>
      <c r="AO17" s="184"/>
      <c r="AP17" s="184"/>
      <c r="AQ17" s="183"/>
      <c r="AR17" s="184"/>
      <c r="AS17" s="184"/>
      <c r="AT17" s="183"/>
      <c r="AU17" s="184"/>
      <c r="AV17" s="184"/>
      <c r="AW17" s="183"/>
      <c r="AX17" s="184"/>
      <c r="AY17" s="184"/>
      <c r="AZ17" s="183"/>
      <c r="BA17" s="184"/>
      <c r="BB17" s="183"/>
      <c r="BC17" s="184"/>
      <c r="BD17" s="184"/>
      <c r="BE17" s="183"/>
      <c r="BF17" s="184"/>
      <c r="BG17" s="184"/>
      <c r="BH17" s="183"/>
      <c r="BI17" s="184"/>
      <c r="BJ17" s="184"/>
      <c r="BK17" s="183"/>
      <c r="BL17" s="184"/>
      <c r="BM17" s="184"/>
      <c r="BN17" s="183"/>
      <c r="BO17" s="184"/>
      <c r="BP17" s="183"/>
      <c r="BQ17" s="184"/>
      <c r="BR17" s="184"/>
      <c r="BS17" s="183"/>
      <c r="BT17" s="184"/>
      <c r="BU17" s="183"/>
      <c r="BV17" s="184"/>
      <c r="BW17" s="183"/>
      <c r="BX17" s="184"/>
      <c r="BY17" s="183"/>
      <c r="BZ17" s="184"/>
      <c r="CA17" s="183"/>
      <c r="CB17" s="184"/>
      <c r="CC17" s="183"/>
      <c r="CD17" s="184"/>
      <c r="CE17" s="183"/>
      <c r="CF17" s="184"/>
      <c r="CG17" s="183"/>
      <c r="CH17" s="184"/>
      <c r="CI17" s="183"/>
      <c r="CJ17" s="184"/>
      <c r="CK17" s="183"/>
      <c r="CL17" s="184"/>
      <c r="CM17" s="256"/>
    </row>
    <row r="18" spans="1:91" ht="10.5" customHeight="1">
      <c r="A18" s="179" t="str">
        <f t="shared" si="0"/>
        <v/>
      </c>
      <c r="B18" s="360">
        <v>1.2E-2</v>
      </c>
      <c r="C18" s="726" t="s">
        <v>3555</v>
      </c>
      <c r="D18" s="727"/>
      <c r="E18" s="727"/>
      <c r="F18" s="727"/>
      <c r="G18" s="727"/>
      <c r="H18" s="728"/>
      <c r="I18" s="726" t="s">
        <v>3554</v>
      </c>
      <c r="J18" s="727"/>
      <c r="K18" s="727"/>
      <c r="L18" s="727"/>
      <c r="M18" s="727"/>
      <c r="N18" s="738"/>
      <c r="O18" s="740"/>
      <c r="P18" s="742"/>
      <c r="Q18" s="742"/>
      <c r="R18" s="744"/>
      <c r="S18" s="203">
        <f xml:space="preserve"> 30*(B18/B$15)^2</f>
        <v>53.333333333333343</v>
      </c>
      <c r="T18" s="225">
        <f t="shared" si="1"/>
        <v>22.04081632653061</v>
      </c>
      <c r="U18" s="219">
        <f t="shared" si="2"/>
        <v>11.966759002770086</v>
      </c>
      <c r="V18" s="202">
        <f t="shared" si="3"/>
        <v>6.9119999999999999</v>
      </c>
      <c r="W18" s="283"/>
      <c r="X18" s="283"/>
      <c r="Y18" s="207"/>
      <c r="Z18" s="206"/>
      <c r="AA18" s="206"/>
      <c r="AB18" s="207"/>
      <c r="AC18" s="206"/>
      <c r="AD18" s="388"/>
      <c r="AE18" s="207"/>
      <c r="AF18" s="206"/>
      <c r="AG18" s="206"/>
      <c r="AH18" s="208"/>
      <c r="AI18" s="206"/>
      <c r="AJ18" s="206"/>
      <c r="AK18" s="207"/>
      <c r="AL18" s="206"/>
      <c r="AM18" s="206"/>
      <c r="AN18" s="207"/>
      <c r="AO18" s="206"/>
      <c r="AP18" s="206"/>
      <c r="AQ18" s="207"/>
      <c r="AR18" s="206"/>
      <c r="AS18" s="206"/>
      <c r="AT18" s="207"/>
      <c r="AU18" s="206"/>
      <c r="AV18" s="206"/>
      <c r="AW18" s="207"/>
      <c r="AX18" s="206"/>
      <c r="AY18" s="206"/>
      <c r="AZ18" s="207"/>
      <c r="BA18" s="206"/>
      <c r="BB18" s="207"/>
      <c r="BC18" s="206"/>
      <c r="BD18" s="206"/>
      <c r="BE18" s="207"/>
      <c r="BF18" s="206"/>
      <c r="BG18" s="206"/>
      <c r="BH18" s="207"/>
      <c r="BI18" s="206"/>
      <c r="BJ18" s="206"/>
      <c r="BK18" s="207"/>
      <c r="BL18" s="206"/>
      <c r="BM18" s="206"/>
      <c r="BN18" s="207"/>
      <c r="BO18" s="206"/>
      <c r="BP18" s="207"/>
      <c r="BQ18" s="206"/>
      <c r="BR18" s="206"/>
      <c r="BS18" s="207"/>
      <c r="BT18" s="206"/>
      <c r="BU18" s="207"/>
      <c r="BV18" s="206"/>
      <c r="BW18" s="207"/>
      <c r="BX18" s="206"/>
      <c r="BY18" s="207"/>
      <c r="BZ18" s="206"/>
      <c r="CA18" s="207"/>
      <c r="CB18" s="206"/>
      <c r="CC18" s="207"/>
      <c r="CD18" s="206"/>
      <c r="CE18" s="207"/>
      <c r="CF18" s="206"/>
      <c r="CG18" s="207"/>
      <c r="CH18" s="206"/>
      <c r="CI18" s="207"/>
      <c r="CJ18" s="206"/>
      <c r="CK18" s="207"/>
      <c r="CL18" s="206"/>
      <c r="CM18" s="254"/>
    </row>
    <row r="19" spans="1:91" ht="10.5" customHeight="1" thickBot="1">
      <c r="A19" s="179" t="str">
        <f t="shared" si="0"/>
        <v/>
      </c>
      <c r="B19" s="359">
        <v>1.2999999999999999E-2</v>
      </c>
      <c r="C19" s="729"/>
      <c r="D19" s="730"/>
      <c r="E19" s="730"/>
      <c r="F19" s="730"/>
      <c r="G19" s="730"/>
      <c r="H19" s="731"/>
      <c r="I19" s="729"/>
      <c r="J19" s="730"/>
      <c r="K19" s="730"/>
      <c r="L19" s="730"/>
      <c r="M19" s="730"/>
      <c r="N19" s="739"/>
      <c r="O19" s="741"/>
      <c r="P19" s="743"/>
      <c r="Q19" s="743"/>
      <c r="R19" s="745"/>
      <c r="S19" s="387">
        <f xml:space="preserve"> 30*(B19/B$15)^2</f>
        <v>62.592592592592588</v>
      </c>
      <c r="T19" s="223">
        <f t="shared" si="1"/>
        <v>25.867346938775508</v>
      </c>
      <c r="U19" s="217">
        <f t="shared" si="2"/>
        <v>14.044321329639891</v>
      </c>
      <c r="V19" s="191">
        <f t="shared" si="3"/>
        <v>8.1119999999999983</v>
      </c>
      <c r="W19" s="303"/>
      <c r="X19" s="284"/>
      <c r="Y19" s="194"/>
      <c r="Z19" s="195"/>
      <c r="AA19" s="195"/>
      <c r="AB19" s="194"/>
      <c r="AC19" s="195"/>
      <c r="AD19" s="391"/>
      <c r="AE19" s="194"/>
      <c r="AF19" s="195"/>
      <c r="AG19" s="195"/>
      <c r="AH19" s="196"/>
      <c r="AI19" s="195"/>
      <c r="AJ19" s="195"/>
      <c r="AK19" s="194"/>
      <c r="AL19" s="195"/>
      <c r="AM19" s="195"/>
      <c r="AN19" s="194"/>
      <c r="AO19" s="195"/>
      <c r="AP19" s="195"/>
      <c r="AQ19" s="194"/>
      <c r="AR19" s="195"/>
      <c r="AS19" s="195"/>
      <c r="AT19" s="194"/>
      <c r="AU19" s="195"/>
      <c r="AV19" s="195"/>
      <c r="AW19" s="194"/>
      <c r="AX19" s="195"/>
      <c r="AY19" s="195"/>
      <c r="AZ19" s="194"/>
      <c r="BA19" s="195"/>
      <c r="BB19" s="194"/>
      <c r="BC19" s="195"/>
      <c r="BD19" s="195"/>
      <c r="BE19" s="194"/>
      <c r="BF19" s="195"/>
      <c r="BG19" s="195"/>
      <c r="BH19" s="194"/>
      <c r="BI19" s="195"/>
      <c r="BJ19" s="195"/>
      <c r="BK19" s="194"/>
      <c r="BL19" s="195"/>
      <c r="BM19" s="195"/>
      <c r="BN19" s="194"/>
      <c r="BO19" s="195"/>
      <c r="BP19" s="194"/>
      <c r="BQ19" s="195"/>
      <c r="BR19" s="195"/>
      <c r="BS19" s="194"/>
      <c r="BT19" s="195"/>
      <c r="BU19" s="194"/>
      <c r="BV19" s="195"/>
      <c r="BW19" s="194"/>
      <c r="BX19" s="195"/>
      <c r="BY19" s="194"/>
      <c r="BZ19" s="195"/>
      <c r="CA19" s="194"/>
      <c r="CB19" s="195"/>
      <c r="CC19" s="194"/>
      <c r="CD19" s="195"/>
      <c r="CE19" s="194"/>
      <c r="CF19" s="195"/>
      <c r="CG19" s="194"/>
      <c r="CH19" s="195"/>
      <c r="CI19" s="194"/>
      <c r="CJ19" s="195"/>
      <c r="CK19" s="194"/>
      <c r="CL19" s="195"/>
      <c r="CM19" s="258"/>
    </row>
    <row r="20" spans="1:91" ht="10.5" customHeight="1">
      <c r="A20" s="179" t="str">
        <f t="shared" si="0"/>
        <v/>
      </c>
      <c r="B20" s="358">
        <v>1.4E-2</v>
      </c>
      <c r="C20" s="189"/>
      <c r="D20" s="189"/>
      <c r="E20" s="189"/>
      <c r="F20" s="189"/>
      <c r="G20" s="189"/>
      <c r="H20" s="188"/>
      <c r="I20" s="189"/>
      <c r="J20" s="189"/>
      <c r="K20" s="189"/>
      <c r="L20" s="189"/>
      <c r="M20" s="395"/>
      <c r="N20" s="732"/>
      <c r="O20" s="734"/>
      <c r="P20" s="736"/>
      <c r="Q20" s="736"/>
      <c r="R20" s="736"/>
      <c r="S20" s="186"/>
      <c r="T20" s="235">
        <v>30</v>
      </c>
      <c r="U20" s="214">
        <f t="shared" si="2"/>
        <v>16.288088642659282</v>
      </c>
      <c r="V20" s="180">
        <f t="shared" si="3"/>
        <v>9.4079999999999977</v>
      </c>
      <c r="W20" s="219"/>
      <c r="X20" s="206"/>
      <c r="Y20" s="285"/>
      <c r="Z20" s="184"/>
      <c r="AA20" s="184"/>
      <c r="AB20" s="183"/>
      <c r="AC20" s="184"/>
      <c r="AD20" s="390"/>
      <c r="AE20" s="183"/>
      <c r="AF20" s="184"/>
      <c r="AG20" s="184"/>
      <c r="AH20" s="185"/>
      <c r="AI20" s="184"/>
      <c r="AJ20" s="184"/>
      <c r="AK20" s="183"/>
      <c r="AL20" s="184"/>
      <c r="AM20" s="184"/>
      <c r="AN20" s="183"/>
      <c r="AO20" s="184"/>
      <c r="AP20" s="184"/>
      <c r="AQ20" s="183"/>
      <c r="AR20" s="184"/>
      <c r="AS20" s="184"/>
      <c r="AT20" s="183"/>
      <c r="AU20" s="184"/>
      <c r="AV20" s="184"/>
      <c r="AW20" s="183"/>
      <c r="AX20" s="184"/>
      <c r="AY20" s="184"/>
      <c r="AZ20" s="183"/>
      <c r="BA20" s="184"/>
      <c r="BB20" s="183"/>
      <c r="BC20" s="184"/>
      <c r="BD20" s="184"/>
      <c r="BE20" s="183"/>
      <c r="BF20" s="184"/>
      <c r="BG20" s="184"/>
      <c r="BH20" s="183"/>
      <c r="BI20" s="184"/>
      <c r="BJ20" s="184"/>
      <c r="BK20" s="183"/>
      <c r="BL20" s="184"/>
      <c r="BM20" s="184"/>
      <c r="BN20" s="183"/>
      <c r="BO20" s="184"/>
      <c r="BP20" s="183"/>
      <c r="BQ20" s="184"/>
      <c r="BR20" s="184"/>
      <c r="BS20" s="183"/>
      <c r="BT20" s="184"/>
      <c r="BU20" s="183"/>
      <c r="BV20" s="184"/>
      <c r="BW20" s="183"/>
      <c r="BX20" s="184"/>
      <c r="BY20" s="183"/>
      <c r="BZ20" s="184"/>
      <c r="CA20" s="183"/>
      <c r="CB20" s="184"/>
      <c r="CC20" s="183"/>
      <c r="CD20" s="184"/>
      <c r="CE20" s="183"/>
      <c r="CF20" s="184"/>
      <c r="CG20" s="183"/>
      <c r="CH20" s="184"/>
      <c r="CI20" s="183"/>
      <c r="CJ20" s="184"/>
      <c r="CK20" s="183"/>
      <c r="CL20" s="184"/>
      <c r="CM20" s="256"/>
    </row>
    <row r="21" spans="1:91" ht="10.5" customHeight="1">
      <c r="A21" s="179" t="str">
        <f t="shared" si="0"/>
        <v/>
      </c>
      <c r="B21" s="358">
        <v>1.4999999999999999E-2</v>
      </c>
      <c r="C21" s="189"/>
      <c r="D21" s="189"/>
      <c r="E21" s="189"/>
      <c r="F21" s="189"/>
      <c r="G21" s="189"/>
      <c r="H21" s="188"/>
      <c r="I21" s="189"/>
      <c r="J21" s="189"/>
      <c r="K21" s="189"/>
      <c r="L21" s="189"/>
      <c r="M21" s="395"/>
      <c r="N21" s="733"/>
      <c r="O21" s="735"/>
      <c r="P21" s="737"/>
      <c r="Q21" s="737"/>
      <c r="R21" s="737"/>
      <c r="S21" s="186"/>
      <c r="T21" s="221">
        <f t="shared" ref="T21:T26" si="4" xml:space="preserve"> 30*(B21/B$20)^2</f>
        <v>34.438775510204081</v>
      </c>
      <c r="U21" s="214">
        <f t="shared" si="2"/>
        <v>18.698060941828256</v>
      </c>
      <c r="V21" s="221">
        <f t="shared" si="3"/>
        <v>10.799999999999999</v>
      </c>
      <c r="W21" s="394">
        <f t="shared" ref="W21:W41" si="5" xml:space="preserve"> 30*(B21/B$42)^2</f>
        <v>5.2083333333333339</v>
      </c>
      <c r="X21" s="259"/>
      <c r="Y21" s="285"/>
      <c r="Z21" s="184"/>
      <c r="AA21" s="184"/>
      <c r="AB21" s="183"/>
      <c r="AC21" s="184"/>
      <c r="AD21" s="390"/>
      <c r="AE21" s="183"/>
      <c r="AF21" s="184"/>
      <c r="AG21" s="184"/>
      <c r="AH21" s="185"/>
      <c r="AI21" s="184"/>
      <c r="AJ21" s="184"/>
      <c r="AK21" s="183"/>
      <c r="AL21" s="184"/>
      <c r="AM21" s="184"/>
      <c r="AN21" s="183"/>
      <c r="AO21" s="184"/>
      <c r="AP21" s="184"/>
      <c r="AQ21" s="183"/>
      <c r="AR21" s="184"/>
      <c r="AS21" s="184"/>
      <c r="AT21" s="183"/>
      <c r="AU21" s="184"/>
      <c r="AV21" s="184"/>
      <c r="AW21" s="183"/>
      <c r="AX21" s="184"/>
      <c r="AY21" s="184"/>
      <c r="AZ21" s="183"/>
      <c r="BA21" s="184"/>
      <c r="BB21" s="183"/>
      <c r="BC21" s="184"/>
      <c r="BD21" s="184"/>
      <c r="BE21" s="183"/>
      <c r="BF21" s="184"/>
      <c r="BG21" s="184"/>
      <c r="BH21" s="183"/>
      <c r="BI21" s="184"/>
      <c r="BJ21" s="184"/>
      <c r="BK21" s="183"/>
      <c r="BL21" s="184"/>
      <c r="BM21" s="184"/>
      <c r="BN21" s="183"/>
      <c r="BO21" s="184"/>
      <c r="BP21" s="183"/>
      <c r="BQ21" s="184"/>
      <c r="BR21" s="184"/>
      <c r="BS21" s="183"/>
      <c r="BT21" s="184"/>
      <c r="BU21" s="183"/>
      <c r="BV21" s="184"/>
      <c r="BW21" s="183"/>
      <c r="BX21" s="184"/>
      <c r="BY21" s="183"/>
      <c r="BZ21" s="184"/>
      <c r="CA21" s="183"/>
      <c r="CB21" s="184"/>
      <c r="CC21" s="183"/>
      <c r="CD21" s="184"/>
      <c r="CE21" s="183"/>
      <c r="CF21" s="184"/>
      <c r="CG21" s="183"/>
      <c r="CH21" s="184"/>
      <c r="CI21" s="183"/>
      <c r="CJ21" s="184"/>
      <c r="CK21" s="183"/>
      <c r="CL21" s="184"/>
      <c r="CM21" s="256"/>
    </row>
    <row r="22" spans="1:91" ht="10.5" customHeight="1">
      <c r="A22" s="179" t="str">
        <f t="shared" si="0"/>
        <v/>
      </c>
      <c r="B22" s="360">
        <v>1.6E-2</v>
      </c>
      <c r="C22" s="212"/>
      <c r="D22" s="212"/>
      <c r="E22" s="212"/>
      <c r="F22" s="212"/>
      <c r="G22" s="212"/>
      <c r="H22" s="211"/>
      <c r="I22" s="212"/>
      <c r="J22" s="212"/>
      <c r="K22" s="212"/>
      <c r="L22" s="212"/>
      <c r="M22" s="212"/>
      <c r="N22" s="341"/>
      <c r="O22" s="340"/>
      <c r="P22" s="212"/>
      <c r="Q22" s="212"/>
      <c r="R22" s="212"/>
      <c r="S22" s="209"/>
      <c r="T22" s="225">
        <f t="shared" si="4"/>
        <v>39.183673469387749</v>
      </c>
      <c r="U22" s="219">
        <f t="shared" si="2"/>
        <v>21.274238227146817</v>
      </c>
      <c r="V22" s="225">
        <f t="shared" si="3"/>
        <v>12.288</v>
      </c>
      <c r="W22" s="203">
        <f t="shared" si="5"/>
        <v>5.9259259259259265</v>
      </c>
      <c r="X22" s="257"/>
      <c r="Y22" s="286"/>
      <c r="Z22" s="206"/>
      <c r="AA22" s="206"/>
      <c r="AB22" s="207"/>
      <c r="AC22" s="206"/>
      <c r="AD22" s="388"/>
      <c r="AE22" s="207"/>
      <c r="AF22" s="206"/>
      <c r="AG22" s="206"/>
      <c r="AH22" s="208"/>
      <c r="AI22" s="206"/>
      <c r="AJ22" s="206"/>
      <c r="AK22" s="207"/>
      <c r="AL22" s="206"/>
      <c r="AM22" s="206"/>
      <c r="AN22" s="207"/>
      <c r="AO22" s="206"/>
      <c r="AP22" s="206"/>
      <c r="AQ22" s="207"/>
      <c r="AR22" s="206"/>
      <c r="AS22" s="206"/>
      <c r="AT22" s="207"/>
      <c r="AU22" s="206"/>
      <c r="AV22" s="206"/>
      <c r="AW22" s="207"/>
      <c r="AX22" s="206"/>
      <c r="AY22" s="206"/>
      <c r="AZ22" s="207"/>
      <c r="BA22" s="206"/>
      <c r="BB22" s="207"/>
      <c r="BC22" s="206"/>
      <c r="BD22" s="206"/>
      <c r="BE22" s="207"/>
      <c r="BF22" s="206"/>
      <c r="BG22" s="206"/>
      <c r="BH22" s="207"/>
      <c r="BI22" s="206"/>
      <c r="BJ22" s="206"/>
      <c r="BK22" s="207"/>
      <c r="BL22" s="206"/>
      <c r="BM22" s="206"/>
      <c r="BN22" s="207"/>
      <c r="BO22" s="206"/>
      <c r="BP22" s="207"/>
      <c r="BQ22" s="206"/>
      <c r="BR22" s="206"/>
      <c r="BS22" s="207"/>
      <c r="BT22" s="206"/>
      <c r="BU22" s="207"/>
      <c r="BV22" s="206"/>
      <c r="BW22" s="207"/>
      <c r="BX22" s="206"/>
      <c r="BY22" s="207"/>
      <c r="BZ22" s="206"/>
      <c r="CA22" s="207"/>
      <c r="CB22" s="206"/>
      <c r="CC22" s="207"/>
      <c r="CD22" s="206"/>
      <c r="CE22" s="207"/>
      <c r="CF22" s="206"/>
      <c r="CG22" s="207"/>
      <c r="CH22" s="206"/>
      <c r="CI22" s="207"/>
      <c r="CJ22" s="206"/>
      <c r="CK22" s="207"/>
      <c r="CL22" s="206"/>
      <c r="CM22" s="254"/>
    </row>
    <row r="23" spans="1:91" ht="10.5" customHeight="1" thickBot="1">
      <c r="A23" s="179" t="str">
        <f t="shared" si="0"/>
        <v/>
      </c>
      <c r="B23" s="359">
        <v>1.7000000000000001E-2</v>
      </c>
      <c r="C23" s="200"/>
      <c r="D23" s="200"/>
      <c r="E23" s="200"/>
      <c r="F23" s="200"/>
      <c r="G23" s="200"/>
      <c r="H23" s="199"/>
      <c r="I23" s="200"/>
      <c r="J23" s="200"/>
      <c r="K23" s="200"/>
      <c r="L23" s="200"/>
      <c r="M23" s="200"/>
      <c r="N23" s="339"/>
      <c r="O23" s="338"/>
      <c r="P23" s="200"/>
      <c r="Q23" s="200"/>
      <c r="R23" s="200"/>
      <c r="S23" s="197"/>
      <c r="T23" s="223">
        <f t="shared" si="4"/>
        <v>44.234693877551031</v>
      </c>
      <c r="U23" s="217">
        <f t="shared" si="2"/>
        <v>24.016620498614966</v>
      </c>
      <c r="V23" s="223">
        <f t="shared" si="3"/>
        <v>13.872000000000003</v>
      </c>
      <c r="W23" s="217">
        <f t="shared" si="5"/>
        <v>6.6898148148148167</v>
      </c>
      <c r="X23" s="393">
        <f t="shared" ref="X23:X54" si="6" xml:space="preserve"> 30*(B23/B$49)^2</f>
        <v>4.6890210924824238</v>
      </c>
      <c r="Y23" s="304"/>
      <c r="Z23" s="195"/>
      <c r="AA23" s="195"/>
      <c r="AB23" s="194"/>
      <c r="AC23" s="195"/>
      <c r="AD23" s="391"/>
      <c r="AE23" s="194"/>
      <c r="AF23" s="195"/>
      <c r="AG23" s="195"/>
      <c r="AH23" s="196"/>
      <c r="AI23" s="195"/>
      <c r="AJ23" s="195"/>
      <c r="AK23" s="194"/>
      <c r="AL23" s="195"/>
      <c r="AM23" s="195"/>
      <c r="AN23" s="194"/>
      <c r="AO23" s="195"/>
      <c r="AP23" s="195"/>
      <c r="AQ23" s="194"/>
      <c r="AR23" s="195"/>
      <c r="AS23" s="195"/>
      <c r="AT23" s="194"/>
      <c r="AU23" s="195"/>
      <c r="AV23" s="195"/>
      <c r="AW23" s="194"/>
      <c r="AX23" s="195"/>
      <c r="AY23" s="195"/>
      <c r="AZ23" s="194"/>
      <c r="BA23" s="195"/>
      <c r="BB23" s="194"/>
      <c r="BC23" s="195"/>
      <c r="BD23" s="195"/>
      <c r="BE23" s="194"/>
      <c r="BF23" s="195"/>
      <c r="BG23" s="195"/>
      <c r="BH23" s="194"/>
      <c r="BI23" s="195"/>
      <c r="BJ23" s="195"/>
      <c r="BK23" s="194"/>
      <c r="BL23" s="195"/>
      <c r="BM23" s="195"/>
      <c r="BN23" s="194"/>
      <c r="BO23" s="195"/>
      <c r="BP23" s="194"/>
      <c r="BQ23" s="195"/>
      <c r="BR23" s="195"/>
      <c r="BS23" s="194"/>
      <c r="BT23" s="195"/>
      <c r="BU23" s="194"/>
      <c r="BV23" s="195"/>
      <c r="BW23" s="194"/>
      <c r="BX23" s="195"/>
      <c r="BY23" s="194"/>
      <c r="BZ23" s="195"/>
      <c r="CA23" s="194"/>
      <c r="CB23" s="195"/>
      <c r="CC23" s="194"/>
      <c r="CD23" s="195"/>
      <c r="CE23" s="194"/>
      <c r="CF23" s="195"/>
      <c r="CG23" s="194"/>
      <c r="CH23" s="195"/>
      <c r="CI23" s="194"/>
      <c r="CJ23" s="195"/>
      <c r="CK23" s="194"/>
      <c r="CL23" s="195"/>
      <c r="CM23" s="258"/>
    </row>
    <row r="24" spans="1:91" ht="10.5" customHeight="1" thickBot="1">
      <c r="A24" s="179" t="str">
        <f t="shared" si="0"/>
        <v/>
      </c>
      <c r="B24" s="358">
        <v>1.7999999999999999E-2</v>
      </c>
      <c r="C24" s="189"/>
      <c r="D24" s="189"/>
      <c r="E24" s="189"/>
      <c r="F24" s="189"/>
      <c r="G24" s="189"/>
      <c r="H24" s="188"/>
      <c r="I24" s="189"/>
      <c r="J24" s="189"/>
      <c r="K24" s="189"/>
      <c r="L24" s="189"/>
      <c r="M24" s="189"/>
      <c r="N24" s="336"/>
      <c r="O24" s="335"/>
      <c r="P24" s="189"/>
      <c r="Q24" s="189"/>
      <c r="R24" s="189"/>
      <c r="S24" s="186"/>
      <c r="T24" s="221">
        <f t="shared" si="4"/>
        <v>49.591836734693864</v>
      </c>
      <c r="U24" s="214">
        <f t="shared" si="2"/>
        <v>26.925207756232684</v>
      </c>
      <c r="V24" s="221">
        <f t="shared" si="3"/>
        <v>15.551999999999992</v>
      </c>
      <c r="W24" s="219">
        <f t="shared" si="5"/>
        <v>7.5</v>
      </c>
      <c r="X24" s="372">
        <f t="shared" si="6"/>
        <v>5.2568956192536511</v>
      </c>
      <c r="Y24" s="285"/>
      <c r="Z24" s="184"/>
      <c r="AA24" s="184"/>
      <c r="AB24" s="183"/>
      <c r="AC24" s="184"/>
      <c r="AD24" s="390"/>
      <c r="AE24" s="183"/>
      <c r="AF24" s="184"/>
      <c r="AG24" s="184"/>
      <c r="AH24" s="185"/>
      <c r="AI24" s="184"/>
      <c r="AJ24" s="184"/>
      <c r="AK24" s="183"/>
      <c r="AL24" s="184"/>
      <c r="AM24" s="184"/>
      <c r="AN24" s="183"/>
      <c r="AO24" s="184"/>
      <c r="AP24" s="184"/>
      <c r="AQ24" s="183"/>
      <c r="AR24" s="184"/>
      <c r="AS24" s="184"/>
      <c r="AT24" s="183"/>
      <c r="AU24" s="184"/>
      <c r="AV24" s="184"/>
      <c r="AW24" s="183"/>
      <c r="AX24" s="184"/>
      <c r="AY24" s="184"/>
      <c r="AZ24" s="183"/>
      <c r="BA24" s="184"/>
      <c r="BB24" s="183"/>
      <c r="BC24" s="184"/>
      <c r="BD24" s="184"/>
      <c r="BE24" s="183"/>
      <c r="BF24" s="184"/>
      <c r="BG24" s="184"/>
      <c r="BH24" s="183"/>
      <c r="BI24" s="184"/>
      <c r="BJ24" s="184"/>
      <c r="BK24" s="183"/>
      <c r="BL24" s="184"/>
      <c r="BM24" s="184"/>
      <c r="BN24" s="183"/>
      <c r="BO24" s="184"/>
      <c r="BP24" s="183"/>
      <c r="BQ24" s="184"/>
      <c r="BR24" s="184"/>
      <c r="BS24" s="183"/>
      <c r="BT24" s="184"/>
      <c r="BU24" s="183"/>
      <c r="BV24" s="184"/>
      <c r="BW24" s="183"/>
      <c r="BX24" s="184"/>
      <c r="BY24" s="183"/>
      <c r="BZ24" s="184"/>
      <c r="CA24" s="183"/>
      <c r="CB24" s="184"/>
      <c r="CC24" s="183"/>
      <c r="CD24" s="184"/>
      <c r="CE24" s="183"/>
      <c r="CF24" s="184"/>
      <c r="CG24" s="183"/>
      <c r="CH24" s="184"/>
      <c r="CI24" s="183"/>
      <c r="CJ24" s="184"/>
      <c r="CK24" s="183"/>
      <c r="CL24" s="184"/>
      <c r="CM24" s="256"/>
    </row>
    <row r="25" spans="1:91" ht="10.5" customHeight="1" thickBot="1">
      <c r="A25" s="179" t="str">
        <f t="shared" si="0"/>
        <v/>
      </c>
      <c r="B25" s="358">
        <v>1.9E-2</v>
      </c>
      <c r="C25" s="189"/>
      <c r="D25" s="189"/>
      <c r="E25" s="189"/>
      <c r="F25" s="189"/>
      <c r="G25" s="189"/>
      <c r="H25" s="188"/>
      <c r="I25" s="189"/>
      <c r="J25" s="189"/>
      <c r="K25" s="189"/>
      <c r="L25" s="189"/>
      <c r="M25" s="189"/>
      <c r="N25" s="336"/>
      <c r="O25" s="335"/>
      <c r="P25" s="189"/>
      <c r="Q25" s="189"/>
      <c r="R25" s="189"/>
      <c r="S25" s="186"/>
      <c r="T25" s="221">
        <f t="shared" si="4"/>
        <v>55.255102040816311</v>
      </c>
      <c r="U25" s="237">
        <v>30</v>
      </c>
      <c r="V25" s="221">
        <f t="shared" si="3"/>
        <v>17.327999999999996</v>
      </c>
      <c r="W25" s="217">
        <f t="shared" si="5"/>
        <v>8.3564814814814827</v>
      </c>
      <c r="X25" s="371">
        <f t="shared" si="6"/>
        <v>5.8572201189832347</v>
      </c>
      <c r="Y25" s="306">
        <f t="shared" ref="Y25:Y50" si="7" xml:space="preserve"> 30*(B25/B$51)^2</f>
        <v>5.3481481481481481</v>
      </c>
      <c r="Z25" s="284"/>
      <c r="AA25" s="284"/>
      <c r="AB25" s="183"/>
      <c r="AC25" s="184"/>
      <c r="AD25" s="390"/>
      <c r="AE25" s="183"/>
      <c r="AF25" s="184"/>
      <c r="AG25" s="184"/>
      <c r="AH25" s="185"/>
      <c r="AI25" s="184"/>
      <c r="AJ25" s="184"/>
      <c r="AK25" s="183"/>
      <c r="AL25" s="184"/>
      <c r="AM25" s="184"/>
      <c r="AN25" s="183"/>
      <c r="AO25" s="184"/>
      <c r="AP25" s="184"/>
      <c r="AQ25" s="183"/>
      <c r="AR25" s="184"/>
      <c r="AS25" s="184"/>
      <c r="AT25" s="183"/>
      <c r="AU25" s="184"/>
      <c r="AV25" s="184"/>
      <c r="AW25" s="183"/>
      <c r="AX25" s="184"/>
      <c r="AY25" s="184"/>
      <c r="AZ25" s="183"/>
      <c r="BA25" s="184"/>
      <c r="BB25" s="183"/>
      <c r="BC25" s="184"/>
      <c r="BD25" s="184"/>
      <c r="BE25" s="183"/>
      <c r="BF25" s="184"/>
      <c r="BG25" s="184"/>
      <c r="BH25" s="183"/>
      <c r="BI25" s="184"/>
      <c r="BJ25" s="184"/>
      <c r="BK25" s="183"/>
      <c r="BL25" s="184"/>
      <c r="BM25" s="184"/>
      <c r="BN25" s="183"/>
      <c r="BO25" s="184"/>
      <c r="BP25" s="183"/>
      <c r="BQ25" s="184"/>
      <c r="BR25" s="184"/>
      <c r="BS25" s="183"/>
      <c r="BT25" s="184"/>
      <c r="BU25" s="183"/>
      <c r="BV25" s="184"/>
      <c r="BW25" s="183"/>
      <c r="BX25" s="184"/>
      <c r="BY25" s="183"/>
      <c r="BZ25" s="184"/>
      <c r="CA25" s="183"/>
      <c r="CB25" s="184"/>
      <c r="CC25" s="183"/>
      <c r="CD25" s="184"/>
      <c r="CE25" s="183"/>
      <c r="CF25" s="184"/>
      <c r="CG25" s="183"/>
      <c r="CH25" s="184"/>
      <c r="CI25" s="183"/>
      <c r="CJ25" s="184"/>
      <c r="CK25" s="183"/>
      <c r="CL25" s="184"/>
      <c r="CM25" s="256"/>
    </row>
    <row r="26" spans="1:91" ht="10.5" customHeight="1" thickBot="1">
      <c r="A26" s="179" t="str">
        <f t="shared" si="0"/>
        <v/>
      </c>
      <c r="B26" s="360">
        <v>0.02</v>
      </c>
      <c r="C26" s="212"/>
      <c r="D26" s="212"/>
      <c r="E26" s="212"/>
      <c r="F26" s="212"/>
      <c r="G26" s="212"/>
      <c r="H26" s="211"/>
      <c r="I26" s="212"/>
      <c r="J26" s="212"/>
      <c r="K26" s="212"/>
      <c r="L26" s="212"/>
      <c r="M26" s="212"/>
      <c r="N26" s="341"/>
      <c r="O26" s="340"/>
      <c r="P26" s="321"/>
      <c r="Q26" s="212"/>
      <c r="R26" s="212"/>
      <c r="S26" s="209"/>
      <c r="T26" s="236">
        <f t="shared" si="4"/>
        <v>61.224489795918366</v>
      </c>
      <c r="U26" s="219">
        <f t="shared" ref="U26:U35" si="8" xml:space="preserve"> 30*(B26/B$25)^2</f>
        <v>33.240997229916893</v>
      </c>
      <c r="V26" s="225">
        <f t="shared" si="3"/>
        <v>19.199999999999996</v>
      </c>
      <c r="W26" s="219">
        <f t="shared" si="5"/>
        <v>9.2592592592592595</v>
      </c>
      <c r="X26" s="372">
        <f t="shared" si="6"/>
        <v>6.4899945916711745</v>
      </c>
      <c r="Y26" s="243">
        <f t="shared" si="7"/>
        <v>5.9259259259259265</v>
      </c>
      <c r="Z26" s="283"/>
      <c r="AA26" s="283"/>
      <c r="AB26" s="207"/>
      <c r="AC26" s="206"/>
      <c r="AD26" s="388"/>
      <c r="AE26" s="207"/>
      <c r="AF26" s="206"/>
      <c r="AG26" s="206"/>
      <c r="AH26" s="208"/>
      <c r="AI26" s="206"/>
      <c r="AJ26" s="206"/>
      <c r="AK26" s="207"/>
      <c r="AL26" s="206"/>
      <c r="AM26" s="206"/>
      <c r="AN26" s="207"/>
      <c r="AO26" s="206"/>
      <c r="AP26" s="206"/>
      <c r="AQ26" s="207"/>
      <c r="AR26" s="206"/>
      <c r="AS26" s="206"/>
      <c r="AT26" s="207"/>
      <c r="AU26" s="206"/>
      <c r="AV26" s="206"/>
      <c r="AW26" s="207"/>
      <c r="AX26" s="206"/>
      <c r="AY26" s="206"/>
      <c r="AZ26" s="207"/>
      <c r="BA26" s="206"/>
      <c r="BB26" s="207"/>
      <c r="BC26" s="206"/>
      <c r="BD26" s="206"/>
      <c r="BE26" s="207"/>
      <c r="BF26" s="206"/>
      <c r="BG26" s="206"/>
      <c r="BH26" s="207"/>
      <c r="BI26" s="206"/>
      <c r="BJ26" s="206"/>
      <c r="BK26" s="207"/>
      <c r="BL26" s="206"/>
      <c r="BM26" s="206"/>
      <c r="BN26" s="207"/>
      <c r="BO26" s="206"/>
      <c r="BP26" s="207"/>
      <c r="BQ26" s="206"/>
      <c r="BR26" s="206"/>
      <c r="BS26" s="207"/>
      <c r="BT26" s="206"/>
      <c r="BU26" s="207"/>
      <c r="BV26" s="206"/>
      <c r="BW26" s="207"/>
      <c r="BX26" s="206"/>
      <c r="BY26" s="207"/>
      <c r="BZ26" s="206"/>
      <c r="CA26" s="207"/>
      <c r="CB26" s="206"/>
      <c r="CC26" s="207"/>
      <c r="CD26" s="206"/>
      <c r="CE26" s="207"/>
      <c r="CF26" s="206"/>
      <c r="CG26" s="207"/>
      <c r="CH26" s="206"/>
      <c r="CI26" s="207"/>
      <c r="CJ26" s="206"/>
      <c r="CK26" s="207"/>
      <c r="CL26" s="206"/>
      <c r="CM26" s="254"/>
    </row>
    <row r="27" spans="1:91" ht="10.5" customHeight="1" thickBot="1">
      <c r="A27" s="179" t="str">
        <f t="shared" si="0"/>
        <v/>
      </c>
      <c r="B27" s="359">
        <v>2.1000000000000001E-2</v>
      </c>
      <c r="C27" s="200"/>
      <c r="D27" s="200"/>
      <c r="E27" s="200"/>
      <c r="F27" s="200"/>
      <c r="G27" s="200"/>
      <c r="H27" s="199"/>
      <c r="I27" s="200"/>
      <c r="J27" s="200"/>
      <c r="K27" s="200"/>
      <c r="L27" s="200"/>
      <c r="M27" s="200"/>
      <c r="N27" s="339"/>
      <c r="O27" s="338"/>
      <c r="P27" s="319"/>
      <c r="Q27" s="200"/>
      <c r="R27" s="200"/>
      <c r="S27" s="303"/>
      <c r="T27" s="218"/>
      <c r="U27" s="217">
        <f t="shared" si="8"/>
        <v>36.648199445983387</v>
      </c>
      <c r="V27" s="223">
        <f t="shared" si="3"/>
        <v>21.167999999999996</v>
      </c>
      <c r="W27" s="217">
        <f t="shared" si="5"/>
        <v>10.208333333333336</v>
      </c>
      <c r="X27" s="371">
        <f t="shared" si="6"/>
        <v>7.1552190373174716</v>
      </c>
      <c r="Y27" s="243">
        <f t="shared" si="7"/>
        <v>6.533333333333335</v>
      </c>
      <c r="Z27" s="257"/>
      <c r="AA27" s="257"/>
      <c r="AB27" s="194"/>
      <c r="AC27" s="195"/>
      <c r="AD27" s="391"/>
      <c r="AE27" s="194"/>
      <c r="AF27" s="195"/>
      <c r="AG27" s="195"/>
      <c r="AH27" s="196"/>
      <c r="AI27" s="195"/>
      <c r="AJ27" s="195"/>
      <c r="AK27" s="194"/>
      <c r="AL27" s="195"/>
      <c r="AM27" s="195"/>
      <c r="AN27" s="194"/>
      <c r="AO27" s="195"/>
      <c r="AP27" s="195"/>
      <c r="AQ27" s="194"/>
      <c r="AR27" s="195"/>
      <c r="AS27" s="195"/>
      <c r="AT27" s="194"/>
      <c r="AU27" s="195"/>
      <c r="AV27" s="195"/>
      <c r="AW27" s="194"/>
      <c r="AX27" s="195"/>
      <c r="AY27" s="195"/>
      <c r="AZ27" s="194"/>
      <c r="BA27" s="195"/>
      <c r="BB27" s="194"/>
      <c r="BC27" s="195"/>
      <c r="BD27" s="195"/>
      <c r="BE27" s="194"/>
      <c r="BF27" s="195"/>
      <c r="BG27" s="195"/>
      <c r="BH27" s="194"/>
      <c r="BI27" s="195"/>
      <c r="BJ27" s="195"/>
      <c r="BK27" s="194"/>
      <c r="BL27" s="195"/>
      <c r="BM27" s="195"/>
      <c r="BN27" s="194"/>
      <c r="BO27" s="195"/>
      <c r="BP27" s="194"/>
      <c r="BQ27" s="195"/>
      <c r="BR27" s="195"/>
      <c r="BS27" s="194"/>
      <c r="BT27" s="195"/>
      <c r="BU27" s="194"/>
      <c r="BV27" s="195"/>
      <c r="BW27" s="194"/>
      <c r="BX27" s="195"/>
      <c r="BY27" s="194"/>
      <c r="BZ27" s="195"/>
      <c r="CA27" s="194"/>
      <c r="CB27" s="195"/>
      <c r="CC27" s="194"/>
      <c r="CD27" s="195"/>
      <c r="CE27" s="194"/>
      <c r="CF27" s="195"/>
      <c r="CG27" s="194"/>
      <c r="CH27" s="195"/>
      <c r="CI27" s="194"/>
      <c r="CJ27" s="195"/>
      <c r="CK27" s="194"/>
      <c r="CL27" s="195"/>
      <c r="CM27" s="258"/>
    </row>
    <row r="28" spans="1:91" ht="10.5" customHeight="1" thickBot="1">
      <c r="A28" s="179" t="str">
        <f t="shared" si="0"/>
        <v/>
      </c>
      <c r="B28" s="358">
        <v>2.1999999999999999E-2</v>
      </c>
      <c r="C28" s="189"/>
      <c r="D28" s="189"/>
      <c r="E28" s="189"/>
      <c r="F28" s="189"/>
      <c r="G28" s="189"/>
      <c r="H28" s="188"/>
      <c r="I28" s="189"/>
      <c r="J28" s="189"/>
      <c r="K28" s="189"/>
      <c r="L28" s="189"/>
      <c r="M28" s="189"/>
      <c r="N28" s="336"/>
      <c r="O28" s="335"/>
      <c r="P28" s="323"/>
      <c r="Q28" s="189"/>
      <c r="R28" s="189"/>
      <c r="S28" s="284"/>
      <c r="T28" s="216"/>
      <c r="U28" s="214">
        <f t="shared" si="8"/>
        <v>40.221606648199447</v>
      </c>
      <c r="V28" s="221">
        <f t="shared" si="3"/>
        <v>23.231999999999996</v>
      </c>
      <c r="W28" s="219">
        <f t="shared" si="5"/>
        <v>11.203703703703706</v>
      </c>
      <c r="X28" s="372">
        <f t="shared" si="6"/>
        <v>7.8528934559221213</v>
      </c>
      <c r="Y28" s="369">
        <f t="shared" si="7"/>
        <v>7.1703703703703701</v>
      </c>
      <c r="Z28" s="271">
        <f t="shared" ref="Z28:Z58" si="9" xml:space="preserve"> 30*(B28/B$59)^2</f>
        <v>5.1690993236027047</v>
      </c>
      <c r="AA28" s="227"/>
      <c r="AB28" s="207"/>
      <c r="AC28" s="184"/>
      <c r="AD28" s="390"/>
      <c r="AE28" s="183"/>
      <c r="AF28" s="184"/>
      <c r="AG28" s="184"/>
      <c r="AH28" s="185"/>
      <c r="AI28" s="184"/>
      <c r="AJ28" s="184"/>
      <c r="AK28" s="183"/>
      <c r="AL28" s="184"/>
      <c r="AM28" s="184"/>
      <c r="AN28" s="183"/>
      <c r="AO28" s="184"/>
      <c r="AP28" s="184"/>
      <c r="AQ28" s="183"/>
      <c r="AR28" s="184"/>
      <c r="AS28" s="184"/>
      <c r="AT28" s="183"/>
      <c r="AU28" s="184"/>
      <c r="AV28" s="184"/>
      <c r="AW28" s="183"/>
      <c r="AX28" s="184"/>
      <c r="AY28" s="184"/>
      <c r="AZ28" s="183"/>
      <c r="BA28" s="184"/>
      <c r="BB28" s="183"/>
      <c r="BC28" s="184"/>
      <c r="BD28" s="184"/>
      <c r="BE28" s="183"/>
      <c r="BF28" s="184"/>
      <c r="BG28" s="184"/>
      <c r="BH28" s="183"/>
      <c r="BI28" s="184"/>
      <c r="BJ28" s="184"/>
      <c r="BK28" s="183"/>
      <c r="BL28" s="184"/>
      <c r="BM28" s="184"/>
      <c r="BN28" s="183"/>
      <c r="BO28" s="184"/>
      <c r="BP28" s="183"/>
      <c r="BQ28" s="184"/>
      <c r="BR28" s="184"/>
      <c r="BS28" s="183"/>
      <c r="BT28" s="184"/>
      <c r="BU28" s="183"/>
      <c r="BV28" s="184"/>
      <c r="BW28" s="183"/>
      <c r="BX28" s="184"/>
      <c r="BY28" s="183"/>
      <c r="BZ28" s="184"/>
      <c r="CA28" s="183"/>
      <c r="CB28" s="184"/>
      <c r="CC28" s="183"/>
      <c r="CD28" s="184"/>
      <c r="CE28" s="183"/>
      <c r="CF28" s="184"/>
      <c r="CG28" s="183"/>
      <c r="CH28" s="184"/>
      <c r="CI28" s="183"/>
      <c r="CJ28" s="184"/>
      <c r="CK28" s="183"/>
      <c r="CL28" s="184"/>
      <c r="CM28" s="256"/>
    </row>
    <row r="29" spans="1:91" ht="10.5" customHeight="1" thickBot="1">
      <c r="A29" s="179" t="str">
        <f t="shared" si="0"/>
        <v/>
      </c>
      <c r="B29" s="358">
        <v>2.3E-2</v>
      </c>
      <c r="C29" s="189"/>
      <c r="D29" s="189"/>
      <c r="E29" s="189"/>
      <c r="F29" s="189"/>
      <c r="G29" s="189"/>
      <c r="H29" s="188"/>
      <c r="I29" s="189"/>
      <c r="J29" s="189"/>
      <c r="K29" s="189"/>
      <c r="L29" s="189"/>
      <c r="M29" s="189"/>
      <c r="N29" s="336"/>
      <c r="O29" s="335"/>
      <c r="P29" s="323"/>
      <c r="Q29" s="189"/>
      <c r="R29" s="189"/>
      <c r="S29" s="284"/>
      <c r="T29" s="215"/>
      <c r="U29" s="214">
        <f t="shared" si="8"/>
        <v>43.961218836565095</v>
      </c>
      <c r="V29" s="221">
        <f t="shared" si="3"/>
        <v>25.391999999999996</v>
      </c>
      <c r="W29" s="217">
        <f t="shared" si="5"/>
        <v>12.245370370370374</v>
      </c>
      <c r="X29" s="371">
        <f t="shared" si="6"/>
        <v>8.5830178474851291</v>
      </c>
      <c r="Y29" s="369">
        <f t="shared" si="7"/>
        <v>7.8370370370370352</v>
      </c>
      <c r="Z29" s="181">
        <f t="shared" si="9"/>
        <v>5.6496974012103962</v>
      </c>
      <c r="AA29" s="392">
        <f t="shared" ref="AA29:AA60" si="10" xml:space="preserve"> 30*(B29/B$64)^2</f>
        <v>4.7175980975029717</v>
      </c>
      <c r="AB29" s="194"/>
      <c r="AC29" s="184"/>
      <c r="AD29" s="390"/>
      <c r="AE29" s="183"/>
      <c r="AF29" s="184"/>
      <c r="AG29" s="184"/>
      <c r="AH29" s="185"/>
      <c r="AI29" s="184"/>
      <c r="AJ29" s="184"/>
      <c r="AK29" s="183"/>
      <c r="AL29" s="184"/>
      <c r="AM29" s="184"/>
      <c r="AN29" s="183"/>
      <c r="AO29" s="184"/>
      <c r="AP29" s="184"/>
      <c r="AQ29" s="183"/>
      <c r="AR29" s="184"/>
      <c r="AS29" s="184"/>
      <c r="AT29" s="183"/>
      <c r="AU29" s="184"/>
      <c r="AV29" s="184"/>
      <c r="AW29" s="183"/>
      <c r="AX29" s="184"/>
      <c r="AY29" s="184"/>
      <c r="AZ29" s="183"/>
      <c r="BA29" s="184"/>
      <c r="BB29" s="183"/>
      <c r="BC29" s="184"/>
      <c r="BD29" s="184"/>
      <c r="BE29" s="183"/>
      <c r="BF29" s="184"/>
      <c r="BG29" s="184"/>
      <c r="BH29" s="183"/>
      <c r="BI29" s="184"/>
      <c r="BJ29" s="184"/>
      <c r="BK29" s="183"/>
      <c r="BL29" s="184"/>
      <c r="BM29" s="184"/>
      <c r="BN29" s="183"/>
      <c r="BO29" s="184"/>
      <c r="BP29" s="183"/>
      <c r="BQ29" s="184"/>
      <c r="BR29" s="184"/>
      <c r="BS29" s="183"/>
      <c r="BT29" s="184"/>
      <c r="BU29" s="183"/>
      <c r="BV29" s="184"/>
      <c r="BW29" s="183"/>
      <c r="BX29" s="184"/>
      <c r="BY29" s="183"/>
      <c r="BZ29" s="184"/>
      <c r="CA29" s="183"/>
      <c r="CB29" s="184"/>
      <c r="CC29" s="183"/>
      <c r="CD29" s="184"/>
      <c r="CE29" s="183"/>
      <c r="CF29" s="184"/>
      <c r="CG29" s="183"/>
      <c r="CH29" s="184"/>
      <c r="CI29" s="183"/>
      <c r="CJ29" s="184"/>
      <c r="CK29" s="183"/>
      <c r="CL29" s="184"/>
      <c r="CM29" s="256"/>
    </row>
    <row r="30" spans="1:91" ht="10.5" customHeight="1">
      <c r="A30" s="179" t="str">
        <f t="shared" si="0"/>
        <v/>
      </c>
      <c r="B30" s="360">
        <v>2.4E-2</v>
      </c>
      <c r="C30" s="212"/>
      <c r="D30" s="212"/>
      <c r="E30" s="212"/>
      <c r="F30" s="212"/>
      <c r="G30" s="212"/>
      <c r="H30" s="211"/>
      <c r="I30" s="212"/>
      <c r="J30" s="212"/>
      <c r="K30" s="212"/>
      <c r="L30" s="212"/>
      <c r="M30" s="212"/>
      <c r="N30" s="341"/>
      <c r="O30" s="340"/>
      <c r="P30" s="321"/>
      <c r="Q30" s="212"/>
      <c r="R30" s="212"/>
      <c r="S30" s="209"/>
      <c r="T30" s="205"/>
      <c r="U30" s="219">
        <f t="shared" si="8"/>
        <v>47.867036011080344</v>
      </c>
      <c r="V30" s="225">
        <f t="shared" si="3"/>
        <v>27.648</v>
      </c>
      <c r="W30" s="219">
        <f t="shared" si="5"/>
        <v>13.333333333333336</v>
      </c>
      <c r="X30" s="372">
        <f t="shared" si="6"/>
        <v>9.345592212006494</v>
      </c>
      <c r="Y30" s="369">
        <f t="shared" si="7"/>
        <v>8.5333333333333332</v>
      </c>
      <c r="Z30" s="181">
        <f t="shared" si="9"/>
        <v>6.1516553933784266</v>
      </c>
      <c r="AA30" s="363">
        <f t="shared" si="10"/>
        <v>5.1367419738406657</v>
      </c>
      <c r="AB30" s="207"/>
      <c r="AC30" s="206"/>
      <c r="AD30" s="388"/>
      <c r="AE30" s="207"/>
      <c r="AF30" s="206"/>
      <c r="AG30" s="206"/>
      <c r="AH30" s="208"/>
      <c r="AI30" s="206"/>
      <c r="AJ30" s="206"/>
      <c r="AK30" s="207"/>
      <c r="AL30" s="206"/>
      <c r="AM30" s="206"/>
      <c r="AN30" s="207"/>
      <c r="AO30" s="206"/>
      <c r="AP30" s="206"/>
      <c r="AQ30" s="207"/>
      <c r="AR30" s="206"/>
      <c r="AS30" s="206"/>
      <c r="AT30" s="207"/>
      <c r="AU30" s="206"/>
      <c r="AV30" s="206"/>
      <c r="AW30" s="207"/>
      <c r="AX30" s="206"/>
      <c r="AY30" s="206"/>
      <c r="AZ30" s="207"/>
      <c r="BA30" s="206"/>
      <c r="BB30" s="207"/>
      <c r="BC30" s="206"/>
      <c r="BD30" s="206"/>
      <c r="BE30" s="207"/>
      <c r="BF30" s="206"/>
      <c r="BG30" s="206"/>
      <c r="BH30" s="207"/>
      <c r="BI30" s="206"/>
      <c r="BJ30" s="206"/>
      <c r="BK30" s="207"/>
      <c r="BL30" s="206"/>
      <c r="BM30" s="206"/>
      <c r="BN30" s="207"/>
      <c r="BO30" s="206"/>
      <c r="BP30" s="207"/>
      <c r="BQ30" s="206"/>
      <c r="BR30" s="206"/>
      <c r="BS30" s="207"/>
      <c r="BT30" s="206"/>
      <c r="BU30" s="207"/>
      <c r="BV30" s="206"/>
      <c r="BW30" s="207"/>
      <c r="BX30" s="206"/>
      <c r="BY30" s="207"/>
      <c r="BZ30" s="206"/>
      <c r="CA30" s="207"/>
      <c r="CB30" s="206"/>
      <c r="CC30" s="207"/>
      <c r="CD30" s="206"/>
      <c r="CE30" s="207"/>
      <c r="CF30" s="206"/>
      <c r="CG30" s="207"/>
      <c r="CH30" s="206"/>
      <c r="CI30" s="207"/>
      <c r="CJ30" s="206"/>
      <c r="CK30" s="207"/>
      <c r="CL30" s="206"/>
      <c r="CM30" s="254"/>
    </row>
    <row r="31" spans="1:91" ht="10.5" customHeight="1" thickBot="1">
      <c r="A31" s="179" t="str">
        <f t="shared" si="0"/>
        <v/>
      </c>
      <c r="B31" s="359">
        <v>2.5000000000000001E-2</v>
      </c>
      <c r="C31" s="200"/>
      <c r="D31" s="200"/>
      <c r="E31" s="200"/>
      <c r="F31" s="200"/>
      <c r="G31" s="200"/>
      <c r="H31" s="199"/>
      <c r="I31" s="200"/>
      <c r="J31" s="200"/>
      <c r="K31" s="200"/>
      <c r="L31" s="200"/>
      <c r="M31" s="200"/>
      <c r="N31" s="339"/>
      <c r="O31" s="338"/>
      <c r="P31" s="319"/>
      <c r="Q31" s="200"/>
      <c r="R31" s="200"/>
      <c r="S31" s="197"/>
      <c r="T31" s="228"/>
      <c r="U31" s="217">
        <f t="shared" si="8"/>
        <v>51.93905817174516</v>
      </c>
      <c r="V31" s="238">
        <v>30</v>
      </c>
      <c r="W31" s="217">
        <f t="shared" si="5"/>
        <v>14.467592592592597</v>
      </c>
      <c r="X31" s="371">
        <f t="shared" si="6"/>
        <v>10.140616549486209</v>
      </c>
      <c r="Y31" s="369">
        <f t="shared" si="7"/>
        <v>9.2592592592592595</v>
      </c>
      <c r="Z31" s="181">
        <f t="shared" si="9"/>
        <v>6.6749733001068012</v>
      </c>
      <c r="AA31" s="362">
        <f t="shared" si="10"/>
        <v>5.573721759809751</v>
      </c>
      <c r="AB31" s="196"/>
      <c r="AC31" s="195"/>
      <c r="AD31" s="391"/>
      <c r="AE31" s="194"/>
      <c r="AF31" s="195"/>
      <c r="AG31" s="195"/>
      <c r="AH31" s="196"/>
      <c r="AI31" s="195"/>
      <c r="AJ31" s="195"/>
      <c r="AK31" s="194"/>
      <c r="AL31" s="195"/>
      <c r="AM31" s="195"/>
      <c r="AN31" s="194"/>
      <c r="AO31" s="195"/>
      <c r="AP31" s="195"/>
      <c r="AQ31" s="194"/>
      <c r="AR31" s="195"/>
      <c r="AS31" s="195"/>
      <c r="AT31" s="194"/>
      <c r="AU31" s="195"/>
      <c r="AV31" s="195"/>
      <c r="AW31" s="194"/>
      <c r="AX31" s="195"/>
      <c r="AY31" s="195"/>
      <c r="AZ31" s="194"/>
      <c r="BA31" s="195"/>
      <c r="BB31" s="194"/>
      <c r="BC31" s="195"/>
      <c r="BD31" s="195"/>
      <c r="BE31" s="194"/>
      <c r="BF31" s="195"/>
      <c r="BG31" s="195"/>
      <c r="BH31" s="194"/>
      <c r="BI31" s="195"/>
      <c r="BJ31" s="195"/>
      <c r="BK31" s="194"/>
      <c r="BL31" s="195"/>
      <c r="BM31" s="195"/>
      <c r="BN31" s="194"/>
      <c r="BO31" s="195"/>
      <c r="BP31" s="194"/>
      <c r="BQ31" s="195"/>
      <c r="BR31" s="195"/>
      <c r="BS31" s="194"/>
      <c r="BT31" s="195"/>
      <c r="BU31" s="194"/>
      <c r="BV31" s="195"/>
      <c r="BW31" s="194"/>
      <c r="BX31" s="195"/>
      <c r="BY31" s="194"/>
      <c r="BZ31" s="195"/>
      <c r="CA31" s="194"/>
      <c r="CB31" s="195"/>
      <c r="CC31" s="194"/>
      <c r="CD31" s="195"/>
      <c r="CE31" s="194"/>
      <c r="CF31" s="195"/>
      <c r="CG31" s="194"/>
      <c r="CH31" s="195"/>
      <c r="CI31" s="194"/>
      <c r="CJ31" s="195"/>
      <c r="CK31" s="194"/>
      <c r="CL31" s="195"/>
      <c r="CM31" s="258"/>
    </row>
    <row r="32" spans="1:91" ht="10.5" customHeight="1">
      <c r="A32" s="179" t="str">
        <f t="shared" si="0"/>
        <v/>
      </c>
      <c r="B32" s="358">
        <v>2.5999999999999999E-2</v>
      </c>
      <c r="C32" s="189"/>
      <c r="D32" s="189"/>
      <c r="E32" s="189"/>
      <c r="F32" s="189"/>
      <c r="G32" s="189"/>
      <c r="H32" s="188"/>
      <c r="I32" s="189"/>
      <c r="J32" s="189"/>
      <c r="K32" s="189"/>
      <c r="L32" s="189"/>
      <c r="M32" s="189"/>
      <c r="N32" s="336"/>
      <c r="O32" s="335"/>
      <c r="P32" s="323"/>
      <c r="Q32" s="189"/>
      <c r="R32" s="189"/>
      <c r="S32" s="186"/>
      <c r="T32" s="215"/>
      <c r="U32" s="214">
        <f t="shared" si="8"/>
        <v>56.177285318559562</v>
      </c>
      <c r="V32" s="221">
        <f t="shared" ref="V32:V45" si="11" xml:space="preserve"> 30*(B32/B$31)^2</f>
        <v>32.447999999999993</v>
      </c>
      <c r="W32" s="219">
        <f t="shared" si="5"/>
        <v>15.648148148148147</v>
      </c>
      <c r="X32" s="372">
        <f t="shared" si="6"/>
        <v>10.968090859924285</v>
      </c>
      <c r="Y32" s="369">
        <f t="shared" si="7"/>
        <v>10.014814814814812</v>
      </c>
      <c r="Z32" s="181">
        <f t="shared" si="9"/>
        <v>7.2196511213955139</v>
      </c>
      <c r="AA32" s="363">
        <f t="shared" si="10"/>
        <v>6.0285374554102251</v>
      </c>
      <c r="AB32" s="185"/>
      <c r="AC32" s="184"/>
      <c r="AD32" s="390"/>
      <c r="AE32" s="183"/>
      <c r="AF32" s="184"/>
      <c r="AG32" s="184"/>
      <c r="AH32" s="185"/>
      <c r="AI32" s="184"/>
      <c r="AJ32" s="184"/>
      <c r="AK32" s="183"/>
      <c r="AL32" s="184"/>
      <c r="AM32" s="184"/>
      <c r="AN32" s="183"/>
      <c r="AO32" s="184"/>
      <c r="AP32" s="184"/>
      <c r="AQ32" s="183"/>
      <c r="AR32" s="184"/>
      <c r="AS32" s="184"/>
      <c r="AT32" s="183"/>
      <c r="AU32" s="184"/>
      <c r="AV32" s="184"/>
      <c r="AW32" s="183"/>
      <c r="AX32" s="184"/>
      <c r="AY32" s="184"/>
      <c r="AZ32" s="183"/>
      <c r="BA32" s="184"/>
      <c r="BB32" s="183"/>
      <c r="BC32" s="184"/>
      <c r="BD32" s="184"/>
      <c r="BE32" s="183"/>
      <c r="BF32" s="184"/>
      <c r="BG32" s="184"/>
      <c r="BH32" s="183"/>
      <c r="BI32" s="184"/>
      <c r="BJ32" s="184"/>
      <c r="BK32" s="183"/>
      <c r="BL32" s="184"/>
      <c r="BM32" s="184"/>
      <c r="BN32" s="183"/>
      <c r="BO32" s="184"/>
      <c r="BP32" s="183"/>
      <c r="BQ32" s="184"/>
      <c r="BR32" s="184"/>
      <c r="BS32" s="183"/>
      <c r="BT32" s="184"/>
      <c r="BU32" s="183"/>
      <c r="BV32" s="184"/>
      <c r="BW32" s="183"/>
      <c r="BX32" s="184"/>
      <c r="BY32" s="183"/>
      <c r="BZ32" s="184"/>
      <c r="CA32" s="183"/>
      <c r="CB32" s="184"/>
      <c r="CC32" s="183"/>
      <c r="CD32" s="184"/>
      <c r="CE32" s="183"/>
      <c r="CF32" s="184"/>
      <c r="CG32" s="183"/>
      <c r="CH32" s="184"/>
      <c r="CI32" s="183"/>
      <c r="CJ32" s="184"/>
      <c r="CK32" s="183"/>
      <c r="CL32" s="184"/>
      <c r="CM32" s="256"/>
    </row>
    <row r="33" spans="1:91" ht="10.5" customHeight="1" thickBot="1">
      <c r="A33" s="179" t="str">
        <f t="shared" si="0"/>
        <v/>
      </c>
      <c r="B33" s="358">
        <v>2.7E-2</v>
      </c>
      <c r="C33" s="189"/>
      <c r="D33" s="189"/>
      <c r="E33" s="189"/>
      <c r="F33" s="189"/>
      <c r="G33" s="189"/>
      <c r="H33" s="188"/>
      <c r="I33" s="189"/>
      <c r="J33" s="189"/>
      <c r="K33" s="189"/>
      <c r="L33" s="189"/>
      <c r="M33" s="189"/>
      <c r="N33" s="336"/>
      <c r="O33" s="335"/>
      <c r="P33" s="323"/>
      <c r="Q33" s="189"/>
      <c r="R33" s="189"/>
      <c r="S33" s="186"/>
      <c r="T33" s="215"/>
      <c r="U33" s="214">
        <f t="shared" si="8"/>
        <v>60.581717451523545</v>
      </c>
      <c r="V33" s="221">
        <f t="shared" si="11"/>
        <v>34.99199999999999</v>
      </c>
      <c r="W33" s="217">
        <f t="shared" si="5"/>
        <v>16.875</v>
      </c>
      <c r="X33" s="371">
        <f t="shared" si="6"/>
        <v>11.828015143320714</v>
      </c>
      <c r="Y33" s="369">
        <f t="shared" si="7"/>
        <v>10.799999999999999</v>
      </c>
      <c r="Z33" s="181">
        <f t="shared" si="9"/>
        <v>7.7856888572445717</v>
      </c>
      <c r="AA33" s="362">
        <f t="shared" si="10"/>
        <v>6.5011890606420923</v>
      </c>
      <c r="AB33" s="196"/>
      <c r="AC33" s="184"/>
      <c r="AD33" s="390"/>
      <c r="AE33" s="183"/>
      <c r="AF33" s="184"/>
      <c r="AG33" s="278" t="s">
        <v>3553</v>
      </c>
      <c r="AH33" s="185"/>
      <c r="AI33" s="184"/>
      <c r="AJ33" s="184"/>
      <c r="AK33" s="183"/>
      <c r="AL33" s="184"/>
      <c r="AM33" s="184"/>
      <c r="AN33" s="183"/>
      <c r="AO33" s="184"/>
      <c r="AP33" s="184"/>
      <c r="AQ33" s="183"/>
      <c r="AR33" s="184"/>
      <c r="AS33" s="184"/>
      <c r="AT33" s="183"/>
      <c r="AU33" s="184"/>
      <c r="AV33" s="184"/>
      <c r="AW33" s="183"/>
      <c r="AX33" s="184"/>
      <c r="AY33" s="184"/>
      <c r="AZ33" s="183"/>
      <c r="BA33" s="184"/>
      <c r="BB33" s="183"/>
      <c r="BC33" s="184"/>
      <c r="BD33" s="184"/>
      <c r="BE33" s="183"/>
      <c r="BF33" s="184"/>
      <c r="BG33" s="184"/>
      <c r="BH33" s="183"/>
      <c r="BI33" s="184"/>
      <c r="BJ33" s="184"/>
      <c r="BK33" s="183"/>
      <c r="BL33" s="184"/>
      <c r="BM33" s="184"/>
      <c r="BN33" s="183"/>
      <c r="BO33" s="184"/>
      <c r="BP33" s="183"/>
      <c r="BQ33" s="184"/>
      <c r="BR33" s="184"/>
      <c r="BS33" s="183"/>
      <c r="BT33" s="184"/>
      <c r="BU33" s="183"/>
      <c r="BV33" s="184"/>
      <c r="BW33" s="183"/>
      <c r="BX33" s="184"/>
      <c r="BY33" s="183"/>
      <c r="BZ33" s="184"/>
      <c r="CA33" s="183"/>
      <c r="CB33" s="184"/>
      <c r="CC33" s="183"/>
      <c r="CD33" s="184"/>
      <c r="CE33" s="183"/>
      <c r="CF33" s="184"/>
      <c r="CG33" s="183"/>
      <c r="CH33" s="184"/>
      <c r="CI33" s="183"/>
      <c r="CJ33" s="184"/>
      <c r="CK33" s="183"/>
      <c r="CL33" s="184"/>
      <c r="CM33" s="256"/>
    </row>
    <row r="34" spans="1:91" ht="10.5" customHeight="1" thickBot="1">
      <c r="A34" s="179" t="str">
        <f t="shared" si="0"/>
        <v/>
      </c>
      <c r="B34" s="360">
        <v>2.8000000000000001E-2</v>
      </c>
      <c r="C34" s="212"/>
      <c r="D34" s="212"/>
      <c r="E34" s="212"/>
      <c r="F34" s="212"/>
      <c r="G34" s="212"/>
      <c r="H34" s="211"/>
      <c r="I34" s="212"/>
      <c r="J34" s="212"/>
      <c r="K34" s="212"/>
      <c r="L34" s="212"/>
      <c r="M34" s="212"/>
      <c r="N34" s="341"/>
      <c r="O34" s="340"/>
      <c r="P34" s="321"/>
      <c r="Q34" s="212"/>
      <c r="R34" s="212"/>
      <c r="S34" s="209"/>
      <c r="T34" s="205"/>
      <c r="U34" s="219">
        <f t="shared" si="8"/>
        <v>65.152354570637129</v>
      </c>
      <c r="V34" s="225">
        <f t="shared" si="11"/>
        <v>37.631999999999991</v>
      </c>
      <c r="W34" s="219">
        <f t="shared" si="5"/>
        <v>18.148148148148156</v>
      </c>
      <c r="X34" s="372">
        <f t="shared" si="6"/>
        <v>12.720389399675502</v>
      </c>
      <c r="Y34" s="369">
        <f t="shared" si="7"/>
        <v>11.614814814814816</v>
      </c>
      <c r="Z34" s="181">
        <f t="shared" si="9"/>
        <v>8.3730865076539693</v>
      </c>
      <c r="AA34" s="363">
        <f t="shared" si="10"/>
        <v>6.99167657550535</v>
      </c>
      <c r="AB34" s="389"/>
      <c r="AC34" s="206"/>
      <c r="AD34" s="388"/>
      <c r="AE34" s="207"/>
      <c r="AF34" s="206"/>
      <c r="AG34" s="206"/>
      <c r="AH34" s="208"/>
      <c r="AI34" s="206"/>
      <c r="AJ34" s="206"/>
      <c r="AK34" s="207"/>
      <c r="AL34" s="206"/>
      <c r="AM34" s="206"/>
      <c r="AN34" s="207"/>
      <c r="AO34" s="206"/>
      <c r="AP34" s="206"/>
      <c r="AQ34" s="207"/>
      <c r="AR34" s="206"/>
      <c r="AS34" s="206"/>
      <c r="AT34" s="207"/>
      <c r="AU34" s="206"/>
      <c r="AV34" s="206"/>
      <c r="AW34" s="207"/>
      <c r="AX34" s="206"/>
      <c r="AY34" s="206"/>
      <c r="AZ34" s="207"/>
      <c r="BA34" s="206"/>
      <c r="BB34" s="207"/>
      <c r="BC34" s="206"/>
      <c r="BD34" s="206"/>
      <c r="BE34" s="207"/>
      <c r="BF34" s="206"/>
      <c r="BG34" s="206"/>
      <c r="BH34" s="207"/>
      <c r="BI34" s="206"/>
      <c r="BJ34" s="206"/>
      <c r="BK34" s="207"/>
      <c r="BL34" s="206"/>
      <c r="BM34" s="206"/>
      <c r="BN34" s="207"/>
      <c r="BO34" s="206"/>
      <c r="BP34" s="207"/>
      <c r="BQ34" s="206"/>
      <c r="BR34" s="206"/>
      <c r="BS34" s="207"/>
      <c r="BT34" s="206"/>
      <c r="BU34" s="207"/>
      <c r="BV34" s="206"/>
      <c r="BW34" s="207"/>
      <c r="BX34" s="206"/>
      <c r="BY34" s="207"/>
      <c r="BZ34" s="206"/>
      <c r="CA34" s="207"/>
      <c r="CB34" s="206"/>
      <c r="CC34" s="207"/>
      <c r="CD34" s="206"/>
      <c r="CE34" s="207"/>
      <c r="CF34" s="206"/>
      <c r="CG34" s="207"/>
      <c r="CH34" s="206"/>
      <c r="CI34" s="207"/>
      <c r="CJ34" s="206"/>
      <c r="CK34" s="207"/>
      <c r="CL34" s="206"/>
      <c r="CM34" s="254"/>
    </row>
    <row r="35" spans="1:91" ht="10.5" customHeight="1" thickBot="1">
      <c r="A35" s="179" t="str">
        <f t="shared" si="0"/>
        <v/>
      </c>
      <c r="B35" s="358">
        <v>2.9000000000000001E-2</v>
      </c>
      <c r="C35" s="189"/>
      <c r="D35" s="189"/>
      <c r="E35" s="189"/>
      <c r="F35" s="189"/>
      <c r="G35" s="189"/>
      <c r="H35" s="188"/>
      <c r="I35" s="187"/>
      <c r="J35" s="187"/>
      <c r="K35" s="189"/>
      <c r="L35" s="189"/>
      <c r="M35" s="189"/>
      <c r="N35" s="336"/>
      <c r="O35" s="335"/>
      <c r="P35" s="323"/>
      <c r="Q35" s="189"/>
      <c r="R35" s="189"/>
      <c r="S35" s="186"/>
      <c r="T35" s="215"/>
      <c r="U35" s="387">
        <f t="shared" si="8"/>
        <v>69.88919667590028</v>
      </c>
      <c r="V35" s="221">
        <f t="shared" si="11"/>
        <v>40.367999999999995</v>
      </c>
      <c r="W35" s="217">
        <f t="shared" si="5"/>
        <v>19.467592592592602</v>
      </c>
      <c r="X35" s="371">
        <f t="shared" si="6"/>
        <v>13.645213628988646</v>
      </c>
      <c r="Y35" s="369">
        <f t="shared" si="7"/>
        <v>12.459259259259261</v>
      </c>
      <c r="Z35" s="214">
        <f t="shared" si="9"/>
        <v>8.9818440726237085</v>
      </c>
      <c r="AA35" s="362">
        <f t="shared" si="10"/>
        <v>7.5</v>
      </c>
      <c r="AB35" s="240">
        <f t="shared" ref="AB35:AB73" si="12" xml:space="preserve"> 30*(B35/B$74)^2</f>
        <v>5.4563148788927336</v>
      </c>
      <c r="AC35" s="284"/>
      <c r="AD35" s="386"/>
      <c r="AE35" s="183"/>
      <c r="AF35" s="184"/>
      <c r="AG35" s="184"/>
      <c r="AH35" s="185"/>
      <c r="AI35" s="184"/>
      <c r="AJ35" s="184"/>
      <c r="AK35" s="183"/>
      <c r="AL35" s="184"/>
      <c r="AM35" s="184"/>
      <c r="AN35" s="183"/>
      <c r="AO35" s="184"/>
      <c r="AP35" s="184"/>
      <c r="AQ35" s="183"/>
      <c r="AR35" s="184"/>
      <c r="AS35" s="184"/>
      <c r="AT35" s="183"/>
      <c r="AU35" s="184"/>
      <c r="AV35" s="184"/>
      <c r="AW35" s="183"/>
      <c r="AX35" s="184"/>
      <c r="AY35" s="184"/>
      <c r="AZ35" s="183"/>
      <c r="BA35" s="184"/>
      <c r="BB35" s="183"/>
      <c r="BC35" s="184"/>
      <c r="BD35" s="184"/>
      <c r="BE35" s="183"/>
      <c r="BF35" s="184"/>
      <c r="BG35" s="184"/>
      <c r="BH35" s="183"/>
      <c r="BI35" s="184"/>
      <c r="BJ35" s="184"/>
      <c r="BK35" s="183"/>
      <c r="BL35" s="184"/>
      <c r="BM35" s="184"/>
      <c r="BN35" s="183"/>
      <c r="BO35" s="184"/>
      <c r="BP35" s="183"/>
      <c r="BQ35" s="184"/>
      <c r="BR35" s="184"/>
      <c r="BS35" s="183"/>
      <c r="BT35" s="184"/>
      <c r="BU35" s="183"/>
      <c r="BV35" s="184"/>
      <c r="BW35" s="183"/>
      <c r="BX35" s="184"/>
      <c r="BY35" s="183"/>
      <c r="BZ35" s="184"/>
      <c r="CA35" s="183"/>
      <c r="CB35" s="184"/>
      <c r="CC35" s="183"/>
      <c r="CD35" s="184"/>
      <c r="CE35" s="183"/>
      <c r="CF35" s="184"/>
      <c r="CG35" s="183"/>
      <c r="CH35" s="184"/>
      <c r="CI35" s="183"/>
      <c r="CJ35" s="184"/>
      <c r="CK35" s="183"/>
      <c r="CL35" s="184"/>
      <c r="CM35" s="256"/>
    </row>
    <row r="36" spans="1:91" ht="10.5" customHeight="1">
      <c r="A36" s="179" t="str">
        <f t="shared" si="0"/>
        <v/>
      </c>
      <c r="B36" s="360">
        <v>0.03</v>
      </c>
      <c r="C36" s="212"/>
      <c r="D36" s="212"/>
      <c r="E36" s="212"/>
      <c r="F36" s="212"/>
      <c r="G36" s="212"/>
      <c r="H36" s="211"/>
      <c r="I36" s="210"/>
      <c r="J36" s="210"/>
      <c r="K36" s="212"/>
      <c r="L36" s="212"/>
      <c r="M36" s="212"/>
      <c r="N36" s="341"/>
      <c r="O36" s="340"/>
      <c r="P36" s="321"/>
      <c r="Q36" s="212"/>
      <c r="R36" s="212"/>
      <c r="S36" s="209"/>
      <c r="T36" s="207"/>
      <c r="U36" s="382"/>
      <c r="V36" s="225">
        <f t="shared" si="11"/>
        <v>43.199999999999996</v>
      </c>
      <c r="W36" s="219">
        <f t="shared" si="5"/>
        <v>20.833333333333336</v>
      </c>
      <c r="X36" s="372">
        <f t="shared" si="6"/>
        <v>14.602487831260142</v>
      </c>
      <c r="Y36" s="368">
        <f t="shared" si="7"/>
        <v>13.333333333333332</v>
      </c>
      <c r="Z36" s="219">
        <f t="shared" si="9"/>
        <v>9.6119615521537902</v>
      </c>
      <c r="AA36" s="363">
        <f t="shared" si="10"/>
        <v>8.0261593341260387</v>
      </c>
      <c r="AB36" s="202">
        <f t="shared" si="12"/>
        <v>5.8391003460207589</v>
      </c>
      <c r="AC36" s="283"/>
      <c r="AD36" s="385"/>
      <c r="AE36" s="207"/>
      <c r="AF36" s="206"/>
      <c r="AG36" s="206"/>
      <c r="AH36" s="208"/>
      <c r="AI36" s="206"/>
      <c r="AJ36" s="206"/>
      <c r="AK36" s="207"/>
      <c r="AL36" s="206"/>
      <c r="AM36" s="206"/>
      <c r="AN36" s="207"/>
      <c r="AO36" s="206"/>
      <c r="AP36" s="206"/>
      <c r="AQ36" s="207"/>
      <c r="AR36" s="206"/>
      <c r="AS36" s="206"/>
      <c r="AT36" s="207"/>
      <c r="AU36" s="206"/>
      <c r="AV36" s="206"/>
      <c r="AW36" s="207"/>
      <c r="AX36" s="206"/>
      <c r="AY36" s="206"/>
      <c r="AZ36" s="207"/>
      <c r="BA36" s="206"/>
      <c r="BB36" s="207"/>
      <c r="BC36" s="206"/>
      <c r="BD36" s="206"/>
      <c r="BE36" s="207"/>
      <c r="BF36" s="206"/>
      <c r="BG36" s="206"/>
      <c r="BH36" s="207"/>
      <c r="BI36" s="206"/>
      <c r="BJ36" s="206"/>
      <c r="BK36" s="207"/>
      <c r="BL36" s="206"/>
      <c r="BM36" s="206"/>
      <c r="BN36" s="207"/>
      <c r="BO36" s="206"/>
      <c r="BP36" s="207"/>
      <c r="BQ36" s="206"/>
      <c r="BR36" s="206"/>
      <c r="BS36" s="207"/>
      <c r="BT36" s="206"/>
      <c r="BU36" s="207"/>
      <c r="BV36" s="206"/>
      <c r="BW36" s="207"/>
      <c r="BX36" s="206"/>
      <c r="BY36" s="207"/>
      <c r="BZ36" s="206"/>
      <c r="CA36" s="207"/>
      <c r="CB36" s="206"/>
      <c r="CC36" s="207"/>
      <c r="CD36" s="206"/>
      <c r="CE36" s="207"/>
      <c r="CF36" s="206"/>
      <c r="CG36" s="207"/>
      <c r="CH36" s="206"/>
      <c r="CI36" s="207"/>
      <c r="CJ36" s="206"/>
      <c r="CK36" s="207"/>
      <c r="CL36" s="206"/>
      <c r="CM36" s="254"/>
    </row>
    <row r="37" spans="1:91" ht="10.5" customHeight="1" thickBot="1">
      <c r="A37" s="179" t="str">
        <f t="shared" si="0"/>
        <v/>
      </c>
      <c r="B37" s="359">
        <v>3.1E-2</v>
      </c>
      <c r="C37" s="200"/>
      <c r="D37" s="200"/>
      <c r="E37" s="200"/>
      <c r="F37" s="200"/>
      <c r="G37" s="200"/>
      <c r="H37" s="199"/>
      <c r="I37" s="198"/>
      <c r="J37" s="198"/>
      <c r="K37" s="200"/>
      <c r="L37" s="200"/>
      <c r="M37" s="200"/>
      <c r="N37" s="339"/>
      <c r="O37" s="338"/>
      <c r="P37" s="319"/>
      <c r="Q37" s="200"/>
      <c r="R37" s="200"/>
      <c r="S37" s="197"/>
      <c r="T37" s="194"/>
      <c r="U37" s="384"/>
      <c r="V37" s="223">
        <f t="shared" si="11"/>
        <v>46.128</v>
      </c>
      <c r="W37" s="217">
        <f t="shared" si="5"/>
        <v>22.245370370370374</v>
      </c>
      <c r="X37" s="371">
        <f t="shared" si="6"/>
        <v>15.592212006489998</v>
      </c>
      <c r="Y37" s="367">
        <f t="shared" si="7"/>
        <v>14.237037037037036</v>
      </c>
      <c r="Z37" s="217">
        <f t="shared" si="9"/>
        <v>10.263438946244214</v>
      </c>
      <c r="AA37" s="362">
        <f t="shared" si="10"/>
        <v>8.5701545778834696</v>
      </c>
      <c r="AB37" s="191">
        <f t="shared" si="12"/>
        <v>6.234861591695501</v>
      </c>
      <c r="AC37" s="259"/>
      <c r="AD37" s="383"/>
      <c r="AE37" s="194"/>
      <c r="AF37" s="195"/>
      <c r="AG37" s="195"/>
      <c r="AH37" s="196"/>
      <c r="AI37" s="195"/>
      <c r="AJ37" s="195"/>
      <c r="AK37" s="194"/>
      <c r="AL37" s="195"/>
      <c r="AM37" s="195"/>
      <c r="AN37" s="194"/>
      <c r="AO37" s="195"/>
      <c r="AP37" s="195"/>
      <c r="AQ37" s="194"/>
      <c r="AR37" s="195"/>
      <c r="AS37" s="195"/>
      <c r="AT37" s="194"/>
      <c r="AU37" s="195"/>
      <c r="AV37" s="195"/>
      <c r="AW37" s="194"/>
      <c r="AX37" s="195"/>
      <c r="AY37" s="195"/>
      <c r="AZ37" s="194"/>
      <c r="BA37" s="195"/>
      <c r="BB37" s="194"/>
      <c r="BC37" s="195"/>
      <c r="BD37" s="195"/>
      <c r="BE37" s="194"/>
      <c r="BF37" s="195"/>
      <c r="BG37" s="195"/>
      <c r="BH37" s="194"/>
      <c r="BI37" s="195"/>
      <c r="BJ37" s="195"/>
      <c r="BK37" s="194"/>
      <c r="BL37" s="195"/>
      <c r="BM37" s="195"/>
      <c r="BN37" s="194"/>
      <c r="BO37" s="195"/>
      <c r="BP37" s="194"/>
      <c r="BQ37" s="195"/>
      <c r="BR37" s="195"/>
      <c r="BS37" s="194"/>
      <c r="BT37" s="195"/>
      <c r="BU37" s="194"/>
      <c r="BV37" s="195"/>
      <c r="BW37" s="194"/>
      <c r="BX37" s="195"/>
      <c r="BY37" s="194"/>
      <c r="BZ37" s="195"/>
      <c r="CA37" s="194"/>
      <c r="CB37" s="195"/>
      <c r="CC37" s="194"/>
      <c r="CD37" s="195"/>
      <c r="CE37" s="194"/>
      <c r="CF37" s="195"/>
      <c r="CG37" s="194"/>
      <c r="CH37" s="195"/>
      <c r="CI37" s="194"/>
      <c r="CJ37" s="195"/>
      <c r="CK37" s="194"/>
      <c r="CL37" s="195"/>
      <c r="CM37" s="258"/>
    </row>
    <row r="38" spans="1:91" ht="10.5" customHeight="1">
      <c r="A38" s="179" t="str">
        <f t="shared" si="0"/>
        <v/>
      </c>
      <c r="B38" s="358">
        <v>3.2000000000000001E-2</v>
      </c>
      <c r="C38" s="189"/>
      <c r="D38" s="189"/>
      <c r="E38" s="189"/>
      <c r="F38" s="189"/>
      <c r="G38" s="189"/>
      <c r="H38" s="188"/>
      <c r="I38" s="187"/>
      <c r="J38" s="187"/>
      <c r="K38" s="189"/>
      <c r="L38" s="189"/>
      <c r="M38" s="189"/>
      <c r="N38" s="336"/>
      <c r="O38" s="335"/>
      <c r="P38" s="323"/>
      <c r="Q38" s="189"/>
      <c r="R38" s="189"/>
      <c r="S38" s="186"/>
      <c r="T38" s="183"/>
      <c r="U38" s="382"/>
      <c r="V38" s="221">
        <f t="shared" si="11"/>
        <v>49.152000000000001</v>
      </c>
      <c r="W38" s="219">
        <f t="shared" si="5"/>
        <v>23.703703703703706</v>
      </c>
      <c r="X38" s="372">
        <f t="shared" si="6"/>
        <v>16.614386154678208</v>
      </c>
      <c r="Y38" s="369">
        <f t="shared" si="7"/>
        <v>15.170370370370371</v>
      </c>
      <c r="Z38" s="214">
        <f t="shared" si="9"/>
        <v>10.936276254894979</v>
      </c>
      <c r="AA38" s="363">
        <f t="shared" si="10"/>
        <v>9.1319857312722945</v>
      </c>
      <c r="AB38" s="180">
        <f t="shared" si="12"/>
        <v>6.6435986159169556</v>
      </c>
      <c r="AC38" s="257"/>
      <c r="AD38" s="381"/>
      <c r="AE38" s="183"/>
      <c r="AF38" s="184"/>
      <c r="AG38" s="184"/>
      <c r="AH38" s="185"/>
      <c r="AI38" s="184"/>
      <c r="AJ38" s="184"/>
      <c r="AK38" s="183"/>
      <c r="AL38" s="184"/>
      <c r="AM38" s="184"/>
      <c r="AN38" s="183"/>
      <c r="AO38" s="184"/>
      <c r="AP38" s="184"/>
      <c r="AQ38" s="183"/>
      <c r="AR38" s="184"/>
      <c r="AS38" s="184"/>
      <c r="AT38" s="183"/>
      <c r="AU38" s="184"/>
      <c r="AV38" s="184"/>
      <c r="AW38" s="183"/>
      <c r="AX38" s="184"/>
      <c r="AY38" s="184"/>
      <c r="AZ38" s="183"/>
      <c r="BA38" s="184"/>
      <c r="BB38" s="183"/>
      <c r="BC38" s="184"/>
      <c r="BD38" s="184"/>
      <c r="BE38" s="183"/>
      <c r="BF38" s="184"/>
      <c r="BG38" s="184"/>
      <c r="BH38" s="183"/>
      <c r="BI38" s="184"/>
      <c r="BJ38" s="184"/>
      <c r="BK38" s="183"/>
      <c r="BL38" s="184"/>
      <c r="BM38" s="184"/>
      <c r="BN38" s="183"/>
      <c r="BO38" s="184"/>
      <c r="BP38" s="183"/>
      <c r="BQ38" s="184"/>
      <c r="BR38" s="184"/>
      <c r="BS38" s="183"/>
      <c r="BT38" s="184"/>
      <c r="BU38" s="183"/>
      <c r="BV38" s="184"/>
      <c r="BW38" s="183"/>
      <c r="BX38" s="184"/>
      <c r="BY38" s="183"/>
      <c r="BZ38" s="184"/>
      <c r="CA38" s="183"/>
      <c r="CB38" s="184"/>
      <c r="CC38" s="183"/>
      <c r="CD38" s="184"/>
      <c r="CE38" s="183"/>
      <c r="CF38" s="184"/>
      <c r="CG38" s="183"/>
      <c r="CH38" s="184"/>
      <c r="CI38" s="183"/>
      <c r="CJ38" s="184"/>
      <c r="CK38" s="183"/>
      <c r="CL38" s="184"/>
      <c r="CM38" s="256"/>
    </row>
    <row r="39" spans="1:91" ht="10.5" customHeight="1" thickBot="1">
      <c r="A39" s="179" t="str">
        <f t="shared" si="0"/>
        <v/>
      </c>
      <c r="B39" s="358">
        <v>3.3000000000000002E-2</v>
      </c>
      <c r="C39" s="189"/>
      <c r="D39" s="189"/>
      <c r="E39" s="189"/>
      <c r="F39" s="189"/>
      <c r="G39" s="189"/>
      <c r="H39" s="188"/>
      <c r="I39" s="187"/>
      <c r="J39" s="187"/>
      <c r="K39" s="189"/>
      <c r="L39" s="189"/>
      <c r="M39" s="189"/>
      <c r="N39" s="336"/>
      <c r="O39" s="335"/>
      <c r="P39" s="323"/>
      <c r="Q39" s="189"/>
      <c r="R39" s="189"/>
      <c r="S39" s="186"/>
      <c r="T39" s="183"/>
      <c r="U39" s="382"/>
      <c r="V39" s="221">
        <f t="shared" si="11"/>
        <v>52.272000000000006</v>
      </c>
      <c r="W39" s="217">
        <f t="shared" si="5"/>
        <v>25.208333333333336</v>
      </c>
      <c r="X39" s="371">
        <f t="shared" si="6"/>
        <v>17.669010275824778</v>
      </c>
      <c r="Y39" s="369">
        <f t="shared" si="7"/>
        <v>16.133333333333336</v>
      </c>
      <c r="Z39" s="214">
        <f t="shared" si="9"/>
        <v>11.63047347810609</v>
      </c>
      <c r="AA39" s="362">
        <f t="shared" si="10"/>
        <v>9.7116527942925099</v>
      </c>
      <c r="AB39" s="180">
        <f t="shared" si="12"/>
        <v>7.0653114186851207</v>
      </c>
      <c r="AC39" s="257"/>
      <c r="AD39" s="381"/>
      <c r="AE39" s="183"/>
      <c r="AF39" s="184"/>
      <c r="AG39" s="184"/>
      <c r="AH39" s="185"/>
      <c r="AI39" s="184"/>
      <c r="AJ39" s="184"/>
      <c r="AK39" s="183"/>
      <c r="AL39" s="184"/>
      <c r="AM39" s="184"/>
      <c r="AN39" s="183"/>
      <c r="AO39" s="184"/>
      <c r="AP39" s="184"/>
      <c r="AQ39" s="183"/>
      <c r="AR39" s="184"/>
      <c r="AS39" s="184"/>
      <c r="AT39" s="183"/>
      <c r="AU39" s="184"/>
      <c r="AV39" s="184"/>
      <c r="AW39" s="183"/>
      <c r="AX39" s="184"/>
      <c r="AY39" s="184"/>
      <c r="AZ39" s="183"/>
      <c r="BA39" s="184"/>
      <c r="BB39" s="183"/>
      <c r="BC39" s="184"/>
      <c r="BD39" s="184"/>
      <c r="BE39" s="183"/>
      <c r="BF39" s="184"/>
      <c r="BG39" s="184"/>
      <c r="BH39" s="183"/>
      <c r="BI39" s="184"/>
      <c r="BJ39" s="184"/>
      <c r="BK39" s="183"/>
      <c r="BL39" s="184"/>
      <c r="BM39" s="184"/>
      <c r="BN39" s="183"/>
      <c r="BO39" s="184"/>
      <c r="BP39" s="183"/>
      <c r="BQ39" s="184"/>
      <c r="BR39" s="184"/>
      <c r="BS39" s="183"/>
      <c r="BT39" s="184"/>
      <c r="BU39" s="183"/>
      <c r="BV39" s="184"/>
      <c r="BW39" s="183"/>
      <c r="BX39" s="184"/>
      <c r="BY39" s="183"/>
      <c r="BZ39" s="184"/>
      <c r="CA39" s="183"/>
      <c r="CB39" s="184"/>
      <c r="CC39" s="183"/>
      <c r="CD39" s="184"/>
      <c r="CE39" s="183"/>
      <c r="CF39" s="184"/>
      <c r="CG39" s="183"/>
      <c r="CH39" s="184"/>
      <c r="CI39" s="183"/>
      <c r="CJ39" s="184"/>
      <c r="CK39" s="183"/>
      <c r="CL39" s="184"/>
      <c r="CM39" s="256"/>
    </row>
    <row r="40" spans="1:91" ht="10.5" customHeight="1">
      <c r="A40" s="179" t="str">
        <f t="shared" si="0"/>
        <v/>
      </c>
      <c r="B40" s="360">
        <v>3.4000000000000002E-2</v>
      </c>
      <c r="C40" s="212"/>
      <c r="D40" s="212"/>
      <c r="E40" s="212"/>
      <c r="F40" s="212"/>
      <c r="G40" s="212"/>
      <c r="H40" s="211"/>
      <c r="I40" s="210"/>
      <c r="J40" s="210"/>
      <c r="K40" s="212"/>
      <c r="L40" s="212"/>
      <c r="M40" s="212"/>
      <c r="N40" s="341"/>
      <c r="O40" s="340"/>
      <c r="P40" s="321"/>
      <c r="Q40" s="212"/>
      <c r="R40" s="212"/>
      <c r="S40" s="209"/>
      <c r="T40" s="207"/>
      <c r="U40" s="209"/>
      <c r="V40" s="225">
        <f t="shared" si="11"/>
        <v>55.488000000000014</v>
      </c>
      <c r="W40" s="219">
        <f t="shared" si="5"/>
        <v>26.759259259259267</v>
      </c>
      <c r="X40" s="372">
        <f t="shared" si="6"/>
        <v>18.756084369929695</v>
      </c>
      <c r="Y40" s="368">
        <f t="shared" si="7"/>
        <v>17.12592592592593</v>
      </c>
      <c r="Z40" s="219">
        <f t="shared" si="9"/>
        <v>12.346030615877538</v>
      </c>
      <c r="AA40" s="363">
        <f t="shared" si="10"/>
        <v>10.309155766944118</v>
      </c>
      <c r="AB40" s="202">
        <f t="shared" si="12"/>
        <v>7.5</v>
      </c>
      <c r="AC40" s="255"/>
      <c r="AD40" s="380"/>
      <c r="AE40" s="207"/>
      <c r="AF40" s="206"/>
      <c r="AG40" s="206"/>
      <c r="AH40" s="208"/>
      <c r="AI40" s="206"/>
      <c r="AJ40" s="206"/>
      <c r="AK40" s="207"/>
      <c r="AL40" s="206"/>
      <c r="AM40" s="206"/>
      <c r="AN40" s="207"/>
      <c r="AO40" s="206"/>
      <c r="AP40" s="206"/>
      <c r="AQ40" s="207"/>
      <c r="AR40" s="206"/>
      <c r="AS40" s="206"/>
      <c r="AT40" s="207"/>
      <c r="AU40" s="206"/>
      <c r="AV40" s="206"/>
      <c r="AW40" s="207"/>
      <c r="AX40" s="206"/>
      <c r="AY40" s="206"/>
      <c r="AZ40" s="207"/>
      <c r="BA40" s="206"/>
      <c r="BB40" s="207"/>
      <c r="BC40" s="206"/>
      <c r="BD40" s="206"/>
      <c r="BE40" s="207"/>
      <c r="BF40" s="206"/>
      <c r="BG40" s="206"/>
      <c r="BH40" s="207"/>
      <c r="BI40" s="206"/>
      <c r="BJ40" s="206"/>
      <c r="BK40" s="207"/>
      <c r="BL40" s="206"/>
      <c r="BM40" s="206"/>
      <c r="BN40" s="207"/>
      <c r="BO40" s="206"/>
      <c r="BP40" s="207"/>
      <c r="BQ40" s="206"/>
      <c r="BR40" s="206"/>
      <c r="BS40" s="207"/>
      <c r="BT40" s="206"/>
      <c r="BU40" s="207"/>
      <c r="BV40" s="206"/>
      <c r="BW40" s="207"/>
      <c r="BX40" s="206"/>
      <c r="BY40" s="207"/>
      <c r="BZ40" s="206"/>
      <c r="CA40" s="207"/>
      <c r="CB40" s="206"/>
      <c r="CC40" s="207"/>
      <c r="CD40" s="206"/>
      <c r="CE40" s="207"/>
      <c r="CF40" s="206"/>
      <c r="CG40" s="207"/>
      <c r="CH40" s="206"/>
      <c r="CI40" s="207"/>
      <c r="CJ40" s="206"/>
      <c r="CK40" s="207"/>
      <c r="CL40" s="206"/>
      <c r="CM40" s="254"/>
    </row>
    <row r="41" spans="1:91" ht="10.5" customHeight="1" thickBot="1">
      <c r="A41" s="179" t="str">
        <f t="shared" si="0"/>
        <v/>
      </c>
      <c r="B41" s="359">
        <v>3.5000000000000003E-2</v>
      </c>
      <c r="C41" s="200"/>
      <c r="D41" s="200"/>
      <c r="E41" s="200"/>
      <c r="F41" s="200"/>
      <c r="G41" s="200"/>
      <c r="H41" s="199"/>
      <c r="I41" s="198"/>
      <c r="J41" s="198"/>
      <c r="K41" s="200"/>
      <c r="L41" s="200"/>
      <c r="M41" s="200"/>
      <c r="N41" s="339"/>
      <c r="O41" s="338"/>
      <c r="P41" s="319"/>
      <c r="Q41" s="200"/>
      <c r="R41" s="200"/>
      <c r="S41" s="197"/>
      <c r="T41" s="194"/>
      <c r="U41" s="197"/>
      <c r="V41" s="223">
        <f t="shared" si="11"/>
        <v>58.800000000000011</v>
      </c>
      <c r="W41" s="217">
        <f t="shared" si="5"/>
        <v>28.356481481481492</v>
      </c>
      <c r="X41" s="371">
        <f t="shared" si="6"/>
        <v>19.875608436992973</v>
      </c>
      <c r="Y41" s="367">
        <f t="shared" si="7"/>
        <v>18.148148148148156</v>
      </c>
      <c r="Z41" s="217">
        <f t="shared" si="9"/>
        <v>13.08294766820933</v>
      </c>
      <c r="AA41" s="362">
        <f t="shared" si="10"/>
        <v>10.924494649227109</v>
      </c>
      <c r="AB41" s="191">
        <f t="shared" si="12"/>
        <v>7.9476643598615935</v>
      </c>
      <c r="AC41" s="257"/>
      <c r="AD41" s="379"/>
      <c r="AE41" s="194"/>
      <c r="AF41" s="195"/>
      <c r="AG41" s="195"/>
      <c r="AH41" s="196"/>
      <c r="AI41" s="195"/>
      <c r="AJ41" s="195"/>
      <c r="AK41" s="194"/>
      <c r="AL41" s="195"/>
      <c r="AM41" s="195"/>
      <c r="AN41" s="194"/>
      <c r="AO41" s="195"/>
      <c r="AP41" s="195"/>
      <c r="AQ41" s="194"/>
      <c r="AR41" s="195"/>
      <c r="AS41" s="195"/>
      <c r="AT41" s="194"/>
      <c r="AU41" s="195"/>
      <c r="AV41" s="195"/>
      <c r="AW41" s="194"/>
      <c r="AX41" s="195"/>
      <c r="AY41" s="195"/>
      <c r="AZ41" s="194"/>
      <c r="BA41" s="195"/>
      <c r="BB41" s="194"/>
      <c r="BC41" s="195"/>
      <c r="BD41" s="195"/>
      <c r="BE41" s="194"/>
      <c r="BF41" s="195"/>
      <c r="BG41" s="195"/>
      <c r="BH41" s="194"/>
      <c r="BI41" s="195"/>
      <c r="BJ41" s="195"/>
      <c r="BK41" s="194"/>
      <c r="BL41" s="195"/>
      <c r="BM41" s="195"/>
      <c r="BN41" s="194"/>
      <c r="BO41" s="195"/>
      <c r="BP41" s="194"/>
      <c r="BQ41" s="195"/>
      <c r="BR41" s="195"/>
      <c r="BS41" s="194"/>
      <c r="BT41" s="195"/>
      <c r="BU41" s="194"/>
      <c r="BV41" s="195"/>
      <c r="BW41" s="194"/>
      <c r="BX41" s="195"/>
      <c r="BY41" s="194"/>
      <c r="BZ41" s="195"/>
      <c r="CA41" s="194"/>
      <c r="CB41" s="195"/>
      <c r="CC41" s="194"/>
      <c r="CD41" s="195"/>
      <c r="CE41" s="194"/>
      <c r="CF41" s="195"/>
      <c r="CG41" s="194"/>
      <c r="CH41" s="195"/>
      <c r="CI41" s="194"/>
      <c r="CJ41" s="195"/>
      <c r="CK41" s="194"/>
      <c r="CL41" s="195"/>
      <c r="CM41" s="258"/>
    </row>
    <row r="42" spans="1:91" ht="10.5" customHeight="1">
      <c r="A42" s="179" t="str">
        <f t="shared" si="0"/>
        <v/>
      </c>
      <c r="B42" s="358">
        <v>3.5999999999999997E-2</v>
      </c>
      <c r="C42" s="189"/>
      <c r="D42" s="189"/>
      <c r="E42" s="189"/>
      <c r="F42" s="189"/>
      <c r="G42" s="189"/>
      <c r="H42" s="188"/>
      <c r="I42" s="187"/>
      <c r="J42" s="187"/>
      <c r="K42" s="189"/>
      <c r="L42" s="189"/>
      <c r="M42" s="189"/>
      <c r="N42" s="336"/>
      <c r="O42" s="335"/>
      <c r="P42" s="323"/>
      <c r="Q42" s="189"/>
      <c r="R42" s="189"/>
      <c r="S42" s="186"/>
      <c r="T42" s="183"/>
      <c r="U42" s="186"/>
      <c r="V42" s="221">
        <f t="shared" si="11"/>
        <v>62.20799999999997</v>
      </c>
      <c r="W42" s="219">
        <v>30</v>
      </c>
      <c r="X42" s="372">
        <f t="shared" si="6"/>
        <v>21.027582477014604</v>
      </c>
      <c r="Y42" s="369">
        <f t="shared" si="7"/>
        <v>19.199999999999996</v>
      </c>
      <c r="Z42" s="214">
        <f t="shared" si="9"/>
        <v>13.841224635101458</v>
      </c>
      <c r="AA42" s="363">
        <f t="shared" si="10"/>
        <v>11.557669441141496</v>
      </c>
      <c r="AB42" s="221">
        <f t="shared" si="12"/>
        <v>8.408304498269894</v>
      </c>
      <c r="AC42" s="282">
        <f t="shared" ref="AC42:AC73" si="13" xml:space="preserve"> 30*(B42/B$91)^2</f>
        <v>5.3813148788927316</v>
      </c>
      <c r="AD42" s="378"/>
      <c r="AE42" s="285"/>
      <c r="AF42" s="184"/>
      <c r="AG42" s="184"/>
      <c r="AH42" s="185"/>
      <c r="AI42" s="184"/>
      <c r="AJ42" s="184"/>
      <c r="AK42" s="183"/>
      <c r="AL42" s="184"/>
      <c r="AM42" s="184"/>
      <c r="AN42" s="183"/>
      <c r="AO42" s="184"/>
      <c r="AP42" s="184"/>
      <c r="AQ42" s="183"/>
      <c r="AR42" s="184"/>
      <c r="AS42" s="184"/>
      <c r="AT42" s="183"/>
      <c r="AU42" s="184"/>
      <c r="AV42" s="184"/>
      <c r="AW42" s="183"/>
      <c r="AX42" s="184"/>
      <c r="AY42" s="184"/>
      <c r="AZ42" s="183"/>
      <c r="BA42" s="184"/>
      <c r="BB42" s="183"/>
      <c r="BC42" s="184"/>
      <c r="BD42" s="184"/>
      <c r="BE42" s="183"/>
      <c r="BF42" s="184"/>
      <c r="BG42" s="184"/>
      <c r="BH42" s="183"/>
      <c r="BI42" s="184"/>
      <c r="BJ42" s="184"/>
      <c r="BK42" s="183"/>
      <c r="BL42" s="184"/>
      <c r="BM42" s="184"/>
      <c r="BN42" s="183"/>
      <c r="BO42" s="184"/>
      <c r="BP42" s="183"/>
      <c r="BQ42" s="184"/>
      <c r="BR42" s="184"/>
      <c r="BS42" s="183"/>
      <c r="BT42" s="184"/>
      <c r="BU42" s="183"/>
      <c r="BV42" s="184"/>
      <c r="BW42" s="183"/>
      <c r="BX42" s="184"/>
      <c r="BY42" s="183"/>
      <c r="BZ42" s="184"/>
      <c r="CA42" s="183"/>
      <c r="CB42" s="184"/>
      <c r="CC42" s="183"/>
      <c r="CD42" s="184"/>
      <c r="CE42" s="183"/>
      <c r="CF42" s="184"/>
      <c r="CG42" s="183"/>
      <c r="CH42" s="184"/>
      <c r="CI42" s="183"/>
      <c r="CJ42" s="184"/>
      <c r="CK42" s="183"/>
      <c r="CL42" s="184"/>
      <c r="CM42" s="256"/>
    </row>
    <row r="43" spans="1:91" ht="10.5" customHeight="1" thickBot="1">
      <c r="A43" s="179" t="str">
        <f t="shared" si="0"/>
        <v/>
      </c>
      <c r="B43" s="358">
        <v>3.6999999999999998E-2</v>
      </c>
      <c r="C43" s="189"/>
      <c r="D43" s="189"/>
      <c r="E43" s="189"/>
      <c r="F43" s="189"/>
      <c r="G43" s="189"/>
      <c r="H43" s="188"/>
      <c r="I43" s="187"/>
      <c r="J43" s="187"/>
      <c r="K43" s="189"/>
      <c r="L43" s="189"/>
      <c r="M43" s="189"/>
      <c r="N43" s="336"/>
      <c r="O43" s="335"/>
      <c r="P43" s="323"/>
      <c r="Q43" s="189"/>
      <c r="R43" s="189"/>
      <c r="S43" s="186"/>
      <c r="T43" s="183"/>
      <c r="U43" s="186"/>
      <c r="V43" s="221">
        <f t="shared" si="11"/>
        <v>65.711999999999989</v>
      </c>
      <c r="W43" s="217">
        <f t="shared" ref="W43:W61" si="14" xml:space="preserve"> 30*(B43/B$42)^2</f>
        <v>31.68981481481482</v>
      </c>
      <c r="X43" s="371">
        <f t="shared" si="6"/>
        <v>22.212006489994589</v>
      </c>
      <c r="Y43" s="369">
        <f t="shared" si="7"/>
        <v>20.281481481481478</v>
      </c>
      <c r="Z43" s="214">
        <f t="shared" si="9"/>
        <v>14.620861516553932</v>
      </c>
      <c r="AA43" s="362">
        <f t="shared" si="10"/>
        <v>12.208680142687275</v>
      </c>
      <c r="AB43" s="221">
        <f t="shared" si="12"/>
        <v>8.8819204152249132</v>
      </c>
      <c r="AC43" s="181">
        <f t="shared" si="13"/>
        <v>5.6844290657439434</v>
      </c>
      <c r="AD43" s="352">
        <f t="shared" ref="AD43:AD74" si="15" xml:space="preserve"> 30*(B43/B$93)^2</f>
        <v>5.4260800634165687</v>
      </c>
      <c r="AE43" s="285"/>
      <c r="AF43" s="184"/>
      <c r="AG43" s="184"/>
      <c r="AH43" s="185"/>
      <c r="AI43" s="184"/>
      <c r="AJ43" s="184"/>
      <c r="AK43" s="183"/>
      <c r="AL43" s="184"/>
      <c r="AM43" s="184"/>
      <c r="AN43" s="183"/>
      <c r="AO43" s="184"/>
      <c r="AP43" s="184"/>
      <c r="AQ43" s="183"/>
      <c r="AR43" s="184"/>
      <c r="AS43" s="184"/>
      <c r="AT43" s="183"/>
      <c r="AU43" s="184"/>
      <c r="AV43" s="184"/>
      <c r="AW43" s="183"/>
      <c r="AX43" s="184"/>
      <c r="AY43" s="184"/>
      <c r="AZ43" s="183"/>
      <c r="BA43" s="184"/>
      <c r="BB43" s="183"/>
      <c r="BC43" s="184"/>
      <c r="BD43" s="184"/>
      <c r="BE43" s="183"/>
      <c r="BF43" s="184"/>
      <c r="BG43" s="184"/>
      <c r="BH43" s="183"/>
      <c r="BI43" s="184"/>
      <c r="BJ43" s="184"/>
      <c r="BK43" s="183"/>
      <c r="BL43" s="184"/>
      <c r="BM43" s="184"/>
      <c r="BN43" s="183"/>
      <c r="BO43" s="184"/>
      <c r="BP43" s="183"/>
      <c r="BQ43" s="184"/>
      <c r="BR43" s="184"/>
      <c r="BS43" s="183"/>
      <c r="BT43" s="184"/>
      <c r="BU43" s="183"/>
      <c r="BV43" s="184"/>
      <c r="BW43" s="183"/>
      <c r="BX43" s="184"/>
      <c r="BY43" s="183"/>
      <c r="BZ43" s="184"/>
      <c r="CA43" s="183"/>
      <c r="CB43" s="184"/>
      <c r="CC43" s="183"/>
      <c r="CD43" s="184"/>
      <c r="CE43" s="183"/>
      <c r="CF43" s="184"/>
      <c r="CG43" s="183"/>
      <c r="CH43" s="184"/>
      <c r="CI43" s="183"/>
      <c r="CJ43" s="184"/>
      <c r="CK43" s="183"/>
      <c r="CL43" s="184"/>
      <c r="CM43" s="256"/>
    </row>
    <row r="44" spans="1:91" ht="10.5" customHeight="1">
      <c r="A44" s="179" t="str">
        <f t="shared" si="0"/>
        <v/>
      </c>
      <c r="B44" s="360">
        <v>3.7999999999999999E-2</v>
      </c>
      <c r="C44" s="212"/>
      <c r="D44" s="212"/>
      <c r="E44" s="212"/>
      <c r="F44" s="212"/>
      <c r="G44" s="212"/>
      <c r="H44" s="211"/>
      <c r="I44" s="210"/>
      <c r="J44" s="210"/>
      <c r="K44" s="212"/>
      <c r="L44" s="212"/>
      <c r="M44" s="212"/>
      <c r="N44" s="341"/>
      <c r="O44" s="340"/>
      <c r="P44" s="321"/>
      <c r="Q44" s="212"/>
      <c r="R44" s="212"/>
      <c r="S44" s="209"/>
      <c r="T44" s="207"/>
      <c r="U44" s="209"/>
      <c r="V44" s="225">
        <f t="shared" si="11"/>
        <v>69.311999999999983</v>
      </c>
      <c r="W44" s="219">
        <f t="shared" si="14"/>
        <v>33.425925925925931</v>
      </c>
      <c r="X44" s="372">
        <f t="shared" si="6"/>
        <v>23.428880475932939</v>
      </c>
      <c r="Y44" s="368">
        <f t="shared" si="7"/>
        <v>21.392592592592592</v>
      </c>
      <c r="Z44" s="219">
        <f t="shared" si="9"/>
        <v>15.421858312566748</v>
      </c>
      <c r="AA44" s="363">
        <f t="shared" si="10"/>
        <v>12.877526753864446</v>
      </c>
      <c r="AB44" s="225">
        <f t="shared" si="12"/>
        <v>9.3685121107266411</v>
      </c>
      <c r="AC44" s="203">
        <f t="shared" si="13"/>
        <v>5.9958477508650505</v>
      </c>
      <c r="AD44" s="353">
        <f t="shared" si="15"/>
        <v>5.7233452239397549</v>
      </c>
      <c r="AE44" s="286"/>
      <c r="AF44" s="206"/>
      <c r="AG44" s="206"/>
      <c r="AH44" s="208"/>
      <c r="AI44" s="206"/>
      <c r="AJ44" s="206"/>
      <c r="AK44" s="207"/>
      <c r="AL44" s="206"/>
      <c r="AM44" s="206"/>
      <c r="AN44" s="207"/>
      <c r="AO44" s="206"/>
      <c r="AP44" s="206"/>
      <c r="AQ44" s="207"/>
      <c r="AR44" s="206"/>
      <c r="AS44" s="206"/>
      <c r="AT44" s="207"/>
      <c r="AU44" s="206"/>
      <c r="AV44" s="206"/>
      <c r="AW44" s="207"/>
      <c r="AX44" s="206"/>
      <c r="AY44" s="206"/>
      <c r="AZ44" s="207"/>
      <c r="BA44" s="206"/>
      <c r="BB44" s="207"/>
      <c r="BC44" s="206"/>
      <c r="BD44" s="206"/>
      <c r="BE44" s="207"/>
      <c r="BF44" s="206"/>
      <c r="BG44" s="206"/>
      <c r="BH44" s="207"/>
      <c r="BI44" s="206"/>
      <c r="BJ44" s="206"/>
      <c r="BK44" s="207"/>
      <c r="BL44" s="206"/>
      <c r="BM44" s="206"/>
      <c r="BN44" s="207"/>
      <c r="BO44" s="206"/>
      <c r="BP44" s="207"/>
      <c r="BQ44" s="206"/>
      <c r="BR44" s="206"/>
      <c r="BS44" s="207"/>
      <c r="BT44" s="206"/>
      <c r="BU44" s="207"/>
      <c r="BV44" s="206"/>
      <c r="BW44" s="207"/>
      <c r="BX44" s="206"/>
      <c r="BY44" s="207"/>
      <c r="BZ44" s="206"/>
      <c r="CA44" s="207"/>
      <c r="CB44" s="206"/>
      <c r="CC44" s="207"/>
      <c r="CD44" s="206"/>
      <c r="CE44" s="207"/>
      <c r="CF44" s="206"/>
      <c r="CG44" s="207"/>
      <c r="CH44" s="206"/>
      <c r="CI44" s="207"/>
      <c r="CJ44" s="206"/>
      <c r="CK44" s="207"/>
      <c r="CL44" s="206"/>
      <c r="CM44" s="254"/>
    </row>
    <row r="45" spans="1:91" ht="10.5" customHeight="1" thickBot="1">
      <c r="A45" s="179" t="str">
        <f t="shared" si="0"/>
        <v/>
      </c>
      <c r="B45" s="359">
        <v>3.9E-2</v>
      </c>
      <c r="C45" s="200"/>
      <c r="D45" s="200"/>
      <c r="E45" s="200"/>
      <c r="F45" s="200"/>
      <c r="G45" s="200"/>
      <c r="H45" s="199"/>
      <c r="I45" s="198"/>
      <c r="J45" s="198"/>
      <c r="K45" s="200"/>
      <c r="L45" s="200"/>
      <c r="M45" s="200"/>
      <c r="N45" s="339"/>
      <c r="O45" s="338"/>
      <c r="P45" s="319"/>
      <c r="Q45" s="200"/>
      <c r="R45" s="200"/>
      <c r="S45" s="197"/>
      <c r="T45" s="194"/>
      <c r="U45" s="197"/>
      <c r="V45" s="223">
        <f t="shared" si="11"/>
        <v>73.007999999999981</v>
      </c>
      <c r="W45" s="217">
        <f t="shared" si="14"/>
        <v>35.208333333333343</v>
      </c>
      <c r="X45" s="371">
        <f t="shared" si="6"/>
        <v>24.678204434829642</v>
      </c>
      <c r="Y45" s="367">
        <f t="shared" si="7"/>
        <v>22.533333333333335</v>
      </c>
      <c r="Z45" s="217">
        <f t="shared" si="9"/>
        <v>16.244215023139908</v>
      </c>
      <c r="AA45" s="362">
        <f t="shared" si="10"/>
        <v>13.56420927467301</v>
      </c>
      <c r="AB45" s="223">
        <f t="shared" si="12"/>
        <v>9.8680795847750851</v>
      </c>
      <c r="AC45" s="192">
        <f t="shared" si="13"/>
        <v>6.3155709342560549</v>
      </c>
      <c r="AD45" s="352">
        <f t="shared" si="15"/>
        <v>6.028537455410226</v>
      </c>
      <c r="AE45" s="304"/>
      <c r="AF45" s="195"/>
      <c r="AG45" s="195"/>
      <c r="AH45" s="196"/>
      <c r="AI45" s="195"/>
      <c r="AJ45" s="195"/>
      <c r="AK45" s="194"/>
      <c r="AL45" s="195"/>
      <c r="AM45" s="195"/>
      <c r="AN45" s="194"/>
      <c r="AO45" s="195"/>
      <c r="AP45" s="195"/>
      <c r="AQ45" s="194"/>
      <c r="AR45" s="195"/>
      <c r="AS45" s="195"/>
      <c r="AT45" s="194"/>
      <c r="AU45" s="195"/>
      <c r="AV45" s="195"/>
      <c r="AW45" s="194"/>
      <c r="AX45" s="195"/>
      <c r="AY45" s="195"/>
      <c r="AZ45" s="194"/>
      <c r="BA45" s="195"/>
      <c r="BB45" s="194"/>
      <c r="BC45" s="195"/>
      <c r="BD45" s="195"/>
      <c r="BE45" s="194"/>
      <c r="BF45" s="195"/>
      <c r="BG45" s="195"/>
      <c r="BH45" s="194"/>
      <c r="BI45" s="195"/>
      <c r="BJ45" s="195"/>
      <c r="BK45" s="194"/>
      <c r="BL45" s="195"/>
      <c r="BM45" s="195"/>
      <c r="BN45" s="194"/>
      <c r="BO45" s="195"/>
      <c r="BP45" s="194"/>
      <c r="BQ45" s="195"/>
      <c r="BR45" s="195"/>
      <c r="BS45" s="194"/>
      <c r="BT45" s="195"/>
      <c r="BU45" s="194"/>
      <c r="BV45" s="195"/>
      <c r="BW45" s="194"/>
      <c r="BX45" s="195"/>
      <c r="BY45" s="194"/>
      <c r="BZ45" s="195"/>
      <c r="CA45" s="194"/>
      <c r="CB45" s="195"/>
      <c r="CC45" s="194"/>
      <c r="CD45" s="195"/>
      <c r="CE45" s="194"/>
      <c r="CF45" s="195"/>
      <c r="CG45" s="194"/>
      <c r="CH45" s="195"/>
      <c r="CI45" s="194"/>
      <c r="CJ45" s="195"/>
      <c r="CK45" s="194"/>
      <c r="CL45" s="195"/>
      <c r="CM45" s="258"/>
    </row>
    <row r="46" spans="1:91" ht="10.5" customHeight="1">
      <c r="A46" s="179" t="str">
        <f t="shared" si="0"/>
        <v/>
      </c>
      <c r="B46" s="358">
        <v>0.04</v>
      </c>
      <c r="C46" s="189"/>
      <c r="D46" s="189"/>
      <c r="E46" s="189"/>
      <c r="F46" s="189"/>
      <c r="G46" s="189"/>
      <c r="H46" s="188"/>
      <c r="I46" s="187"/>
      <c r="J46" s="187"/>
      <c r="K46" s="189"/>
      <c r="L46" s="189"/>
      <c r="M46" s="189"/>
      <c r="N46" s="336"/>
      <c r="O46" s="335"/>
      <c r="P46" s="323"/>
      <c r="Q46" s="189"/>
      <c r="R46" s="189"/>
      <c r="S46" s="186"/>
      <c r="T46" s="183"/>
      <c r="U46" s="186"/>
      <c r="V46" s="216"/>
      <c r="W46" s="219">
        <f t="shared" si="14"/>
        <v>37.037037037037038</v>
      </c>
      <c r="X46" s="372">
        <f t="shared" si="6"/>
        <v>25.959978366684698</v>
      </c>
      <c r="Y46" s="369">
        <f t="shared" si="7"/>
        <v>23.703703703703706</v>
      </c>
      <c r="Z46" s="214">
        <f t="shared" si="9"/>
        <v>17.087931648273408</v>
      </c>
      <c r="AA46" s="363">
        <f t="shared" si="10"/>
        <v>14.268727705112957</v>
      </c>
      <c r="AB46" s="221">
        <f t="shared" si="12"/>
        <v>10.380622837370243</v>
      </c>
      <c r="AC46" s="181">
        <f t="shared" si="13"/>
        <v>6.6435986159169556</v>
      </c>
      <c r="AD46" s="353">
        <f t="shared" si="15"/>
        <v>6.3416567578279839</v>
      </c>
      <c r="AE46" s="285"/>
      <c r="AF46" s="184"/>
      <c r="AG46" s="184"/>
      <c r="AH46" s="185"/>
      <c r="AI46" s="184"/>
      <c r="AJ46" s="184"/>
      <c r="AK46" s="183"/>
      <c r="AL46" s="184"/>
      <c r="AM46" s="184"/>
      <c r="AN46" s="183"/>
      <c r="AO46" s="184"/>
      <c r="AP46" s="184"/>
      <c r="AQ46" s="183"/>
      <c r="AR46" s="184"/>
      <c r="AS46" s="184"/>
      <c r="AT46" s="183"/>
      <c r="AU46" s="184"/>
      <c r="AV46" s="184"/>
      <c r="AW46" s="183"/>
      <c r="AX46" s="184"/>
      <c r="AY46" s="184"/>
      <c r="AZ46" s="183"/>
      <c r="BA46" s="184"/>
      <c r="BB46" s="183"/>
      <c r="BC46" s="184"/>
      <c r="BD46" s="184"/>
      <c r="BE46" s="183"/>
      <c r="BF46" s="184"/>
      <c r="BG46" s="184"/>
      <c r="BH46" s="183"/>
      <c r="BI46" s="184"/>
      <c r="BJ46" s="184"/>
      <c r="BK46" s="183"/>
      <c r="BL46" s="184"/>
      <c r="BM46" s="184"/>
      <c r="BN46" s="183"/>
      <c r="BO46" s="184"/>
      <c r="BP46" s="183"/>
      <c r="BQ46" s="184"/>
      <c r="BR46" s="184"/>
      <c r="BS46" s="183"/>
      <c r="BT46" s="184"/>
      <c r="BU46" s="183"/>
      <c r="BV46" s="184"/>
      <c r="BW46" s="183"/>
      <c r="BX46" s="184"/>
      <c r="BY46" s="183"/>
      <c r="BZ46" s="184"/>
      <c r="CA46" s="183"/>
      <c r="CB46" s="184"/>
      <c r="CC46" s="183"/>
      <c r="CD46" s="184"/>
      <c r="CE46" s="183"/>
      <c r="CF46" s="184"/>
      <c r="CG46" s="183"/>
      <c r="CH46" s="184"/>
      <c r="CI46" s="183"/>
      <c r="CJ46" s="184"/>
      <c r="CK46" s="183"/>
      <c r="CL46" s="184"/>
      <c r="CM46" s="256"/>
    </row>
    <row r="47" spans="1:91" ht="10.5" customHeight="1" thickBot="1">
      <c r="A47" s="179" t="str">
        <f t="shared" si="0"/>
        <v/>
      </c>
      <c r="B47" s="359">
        <v>4.1000000000000002E-2</v>
      </c>
      <c r="C47" s="200"/>
      <c r="D47" s="200"/>
      <c r="E47" s="200"/>
      <c r="F47" s="200"/>
      <c r="G47" s="200"/>
      <c r="H47" s="199"/>
      <c r="I47" s="198"/>
      <c r="J47" s="198"/>
      <c r="K47" s="200"/>
      <c r="L47" s="200"/>
      <c r="M47" s="200"/>
      <c r="N47" s="198"/>
      <c r="O47" s="198"/>
      <c r="P47" s="319"/>
      <c r="Q47" s="200"/>
      <c r="R47" s="200"/>
      <c r="S47" s="197"/>
      <c r="T47" s="194"/>
      <c r="U47" s="197"/>
      <c r="V47" s="218"/>
      <c r="W47" s="217">
        <f t="shared" si="14"/>
        <v>38.912037037037045</v>
      </c>
      <c r="X47" s="371">
        <f t="shared" si="6"/>
        <v>27.274202271498115</v>
      </c>
      <c r="Y47" s="369">
        <f t="shared" si="7"/>
        <v>24.903703703703709</v>
      </c>
      <c r="Z47" s="214">
        <f t="shared" si="9"/>
        <v>17.953008187967253</v>
      </c>
      <c r="AA47" s="362">
        <f t="shared" si="10"/>
        <v>14.991082045184303</v>
      </c>
      <c r="AB47" s="221">
        <f t="shared" si="12"/>
        <v>10.906141868512108</v>
      </c>
      <c r="AC47" s="181">
        <f t="shared" si="13"/>
        <v>6.9799307958477508</v>
      </c>
      <c r="AD47" s="352">
        <f t="shared" si="15"/>
        <v>6.6627031311930249</v>
      </c>
      <c r="AE47" s="304"/>
      <c r="AF47" s="195"/>
      <c r="AG47" s="195"/>
      <c r="AH47" s="196"/>
      <c r="AI47" s="195"/>
      <c r="AJ47" s="195"/>
      <c r="AK47" s="194"/>
      <c r="AL47" s="195"/>
      <c r="AM47" s="195"/>
      <c r="AN47" s="194"/>
      <c r="AO47" s="195"/>
      <c r="AP47" s="195"/>
      <c r="AQ47" s="194"/>
      <c r="AR47" s="195"/>
      <c r="AS47" s="195"/>
      <c r="AT47" s="194"/>
      <c r="AU47" s="195"/>
      <c r="AV47" s="195"/>
      <c r="AW47" s="194"/>
      <c r="AX47" s="195"/>
      <c r="AY47" s="195"/>
      <c r="AZ47" s="194"/>
      <c r="BA47" s="195"/>
      <c r="BB47" s="194"/>
      <c r="BC47" s="195"/>
      <c r="BD47" s="195"/>
      <c r="BE47" s="194"/>
      <c r="BF47" s="195"/>
      <c r="BG47" s="195"/>
      <c r="BH47" s="194"/>
      <c r="BI47" s="195"/>
      <c r="BJ47" s="195"/>
      <c r="BK47" s="194"/>
      <c r="BL47" s="195"/>
      <c r="BM47" s="195"/>
      <c r="BN47" s="194"/>
      <c r="BO47" s="195"/>
      <c r="BP47" s="194"/>
      <c r="BQ47" s="195"/>
      <c r="BR47" s="195"/>
      <c r="BS47" s="194"/>
      <c r="BT47" s="195"/>
      <c r="BU47" s="194"/>
      <c r="BV47" s="195"/>
      <c r="BW47" s="194"/>
      <c r="BX47" s="195"/>
      <c r="BY47" s="194"/>
      <c r="BZ47" s="195"/>
      <c r="CA47" s="194"/>
      <c r="CB47" s="195"/>
      <c r="CC47" s="194"/>
      <c r="CD47" s="195"/>
      <c r="CE47" s="194"/>
      <c r="CF47" s="195"/>
      <c r="CG47" s="194"/>
      <c r="CH47" s="195"/>
      <c r="CI47" s="194"/>
      <c r="CJ47" s="195"/>
      <c r="CK47" s="194"/>
      <c r="CL47" s="195"/>
      <c r="CM47" s="258"/>
    </row>
    <row r="48" spans="1:91" ht="10.5" customHeight="1">
      <c r="A48" s="179" t="str">
        <f t="shared" si="0"/>
        <v/>
      </c>
      <c r="B48" s="358">
        <v>4.2000000000000003E-2</v>
      </c>
      <c r="C48" s="189"/>
      <c r="D48" s="189"/>
      <c r="E48" s="189"/>
      <c r="F48" s="189"/>
      <c r="G48" s="189"/>
      <c r="H48" s="188"/>
      <c r="I48" s="336"/>
      <c r="J48" s="347"/>
      <c r="K48" s="189"/>
      <c r="L48" s="189"/>
      <c r="M48" s="189"/>
      <c r="N48" s="187"/>
      <c r="O48" s="187"/>
      <c r="P48" s="323"/>
      <c r="Q48" s="189"/>
      <c r="R48" s="189"/>
      <c r="S48" s="186"/>
      <c r="T48" s="183"/>
      <c r="U48" s="186"/>
      <c r="V48" s="215"/>
      <c r="W48" s="219">
        <f t="shared" si="14"/>
        <v>40.833333333333343</v>
      </c>
      <c r="X48" s="372">
        <f t="shared" si="6"/>
        <v>28.620876149269886</v>
      </c>
      <c r="Y48" s="369">
        <f t="shared" si="7"/>
        <v>26.13333333333334</v>
      </c>
      <c r="Z48" s="214">
        <f t="shared" si="9"/>
        <v>18.839444642221434</v>
      </c>
      <c r="AA48" s="363">
        <f t="shared" si="10"/>
        <v>15.731272294887042</v>
      </c>
      <c r="AB48" s="221">
        <f t="shared" si="12"/>
        <v>11.444636678200693</v>
      </c>
      <c r="AC48" s="181">
        <f t="shared" si="13"/>
        <v>7.3245674740484441</v>
      </c>
      <c r="AD48" s="353">
        <f t="shared" si="15"/>
        <v>6.9916765755053536</v>
      </c>
      <c r="AE48" s="285"/>
      <c r="AF48" s="184"/>
      <c r="AG48" s="184"/>
      <c r="AH48" s="185"/>
      <c r="AI48" s="184"/>
      <c r="AJ48" s="184"/>
      <c r="AK48" s="183"/>
      <c r="AL48" s="184"/>
      <c r="AM48" s="184"/>
      <c r="AN48" s="183"/>
      <c r="AO48" s="184"/>
      <c r="AP48" s="184"/>
      <c r="AQ48" s="183"/>
      <c r="AR48" s="184"/>
      <c r="AS48" s="184"/>
      <c r="AT48" s="183"/>
      <c r="AU48" s="184"/>
      <c r="AV48" s="184"/>
      <c r="AW48" s="183"/>
      <c r="AX48" s="184"/>
      <c r="AY48" s="184"/>
      <c r="AZ48" s="183"/>
      <c r="BA48" s="184"/>
      <c r="BB48" s="183"/>
      <c r="BC48" s="184"/>
      <c r="BD48" s="184"/>
      <c r="BE48" s="183"/>
      <c r="BF48" s="184"/>
      <c r="BG48" s="184"/>
      <c r="BH48" s="183"/>
      <c r="BI48" s="184"/>
      <c r="BJ48" s="184"/>
      <c r="BK48" s="183"/>
      <c r="BL48" s="184"/>
      <c r="BM48" s="184"/>
      <c r="BN48" s="183"/>
      <c r="BO48" s="184"/>
      <c r="BP48" s="183"/>
      <c r="BQ48" s="184"/>
      <c r="BR48" s="184"/>
      <c r="BS48" s="183"/>
      <c r="BT48" s="184"/>
      <c r="BU48" s="183"/>
      <c r="BV48" s="184"/>
      <c r="BW48" s="183"/>
      <c r="BX48" s="184"/>
      <c r="BY48" s="183"/>
      <c r="BZ48" s="184"/>
      <c r="CA48" s="183"/>
      <c r="CB48" s="184"/>
      <c r="CC48" s="183"/>
      <c r="CD48" s="184"/>
      <c r="CE48" s="183"/>
      <c r="CF48" s="184"/>
      <c r="CG48" s="183"/>
      <c r="CH48" s="184"/>
      <c r="CI48" s="183"/>
      <c r="CJ48" s="184"/>
      <c r="CK48" s="183"/>
      <c r="CL48" s="184"/>
      <c r="CM48" s="256"/>
    </row>
    <row r="49" spans="1:91" ht="10.5" customHeight="1" thickBot="1">
      <c r="A49" s="179" t="str">
        <f t="shared" si="0"/>
        <v/>
      </c>
      <c r="B49" s="358">
        <v>4.2999999999999997E-2</v>
      </c>
      <c r="C49" s="189"/>
      <c r="D49" s="189"/>
      <c r="E49" s="189"/>
      <c r="F49" s="189"/>
      <c r="G49" s="189"/>
      <c r="H49" s="188"/>
      <c r="I49" s="336"/>
      <c r="J49" s="347"/>
      <c r="K49" s="189"/>
      <c r="L49" s="189"/>
      <c r="M49" s="189"/>
      <c r="N49" s="187"/>
      <c r="O49" s="187"/>
      <c r="P49" s="323"/>
      <c r="Q49" s="189"/>
      <c r="R49" s="189"/>
      <c r="S49" s="186"/>
      <c r="T49" s="183"/>
      <c r="U49" s="186"/>
      <c r="V49" s="215"/>
      <c r="W49" s="217">
        <f t="shared" si="14"/>
        <v>42.800925925925924</v>
      </c>
      <c r="X49" s="371">
        <f t="shared" si="6"/>
        <v>30</v>
      </c>
      <c r="Y49" s="369">
        <f t="shared" si="7"/>
        <v>27.392592592592589</v>
      </c>
      <c r="Z49" s="214">
        <f t="shared" si="9"/>
        <v>19.747241011035953</v>
      </c>
      <c r="AA49" s="362">
        <f t="shared" si="10"/>
        <v>16.489298454221164</v>
      </c>
      <c r="AB49" s="221">
        <f t="shared" si="12"/>
        <v>11.996107266435981</v>
      </c>
      <c r="AC49" s="181">
        <f t="shared" si="13"/>
        <v>7.6775086505190266</v>
      </c>
      <c r="AD49" s="352">
        <f t="shared" si="15"/>
        <v>7.3285770907649619</v>
      </c>
      <c r="AE49" s="261"/>
      <c r="AF49" s="184"/>
      <c r="AG49" s="184"/>
      <c r="AH49" s="185"/>
      <c r="AI49" s="184"/>
      <c r="AJ49" s="184"/>
      <c r="AK49" s="183"/>
      <c r="AL49" s="184"/>
      <c r="AM49" s="184"/>
      <c r="AN49" s="183"/>
      <c r="AO49" s="184"/>
      <c r="AP49" s="184"/>
      <c r="AQ49" s="183"/>
      <c r="AR49" s="184"/>
      <c r="AS49" s="184"/>
      <c r="AT49" s="183"/>
      <c r="AU49" s="184"/>
      <c r="AV49" s="184"/>
      <c r="AW49" s="183"/>
      <c r="AX49" s="184"/>
      <c r="AY49" s="184"/>
      <c r="AZ49" s="183"/>
      <c r="BA49" s="184"/>
      <c r="BB49" s="183"/>
      <c r="BC49" s="184"/>
      <c r="BD49" s="184"/>
      <c r="BE49" s="183"/>
      <c r="BF49" s="184"/>
      <c r="BG49" s="184"/>
      <c r="BH49" s="183"/>
      <c r="BI49" s="184"/>
      <c r="BJ49" s="184"/>
      <c r="BK49" s="183"/>
      <c r="BL49" s="184"/>
      <c r="BM49" s="184"/>
      <c r="BN49" s="183"/>
      <c r="BO49" s="184"/>
      <c r="BP49" s="183"/>
      <c r="BQ49" s="184"/>
      <c r="BR49" s="184"/>
      <c r="BS49" s="183"/>
      <c r="BT49" s="184"/>
      <c r="BU49" s="183"/>
      <c r="BV49" s="184"/>
      <c r="BW49" s="183"/>
      <c r="BX49" s="184"/>
      <c r="BY49" s="183"/>
      <c r="BZ49" s="184"/>
      <c r="CA49" s="183"/>
      <c r="CB49" s="184"/>
      <c r="CC49" s="183"/>
      <c r="CD49" s="184"/>
      <c r="CE49" s="183"/>
      <c r="CF49" s="184"/>
      <c r="CG49" s="183"/>
      <c r="CH49" s="184"/>
      <c r="CI49" s="183"/>
      <c r="CJ49" s="184"/>
      <c r="CK49" s="183"/>
      <c r="CL49" s="184"/>
      <c r="CM49" s="256"/>
    </row>
    <row r="50" spans="1:91" ht="10.5" customHeight="1">
      <c r="A50" s="179" t="str">
        <f t="shared" si="0"/>
        <v/>
      </c>
      <c r="B50" s="360">
        <v>4.3999999999999997E-2</v>
      </c>
      <c r="C50" s="212"/>
      <c r="D50" s="212"/>
      <c r="E50" s="212"/>
      <c r="F50" s="212"/>
      <c r="G50" s="212"/>
      <c r="H50" s="211"/>
      <c r="I50" s="341"/>
      <c r="J50" s="346"/>
      <c r="K50" s="212"/>
      <c r="L50" s="212"/>
      <c r="M50" s="212"/>
      <c r="N50" s="210"/>
      <c r="O50" s="210"/>
      <c r="P50" s="321"/>
      <c r="Q50" s="212"/>
      <c r="R50" s="212"/>
      <c r="S50" s="209"/>
      <c r="T50" s="207"/>
      <c r="U50" s="209"/>
      <c r="V50" s="205"/>
      <c r="W50" s="219">
        <f t="shared" si="14"/>
        <v>44.814814814814824</v>
      </c>
      <c r="X50" s="372">
        <f t="shared" si="6"/>
        <v>31.411573823688485</v>
      </c>
      <c r="Y50" s="368">
        <f t="shared" si="7"/>
        <v>28.68148148148148</v>
      </c>
      <c r="Z50" s="219">
        <f t="shared" si="9"/>
        <v>20.676397294410819</v>
      </c>
      <c r="AA50" s="363">
        <f t="shared" si="10"/>
        <v>17.26516052318668</v>
      </c>
      <c r="AB50" s="225">
        <f t="shared" si="12"/>
        <v>12.560553633217991</v>
      </c>
      <c r="AC50" s="203">
        <f t="shared" si="13"/>
        <v>8.0387543252595126</v>
      </c>
      <c r="AD50" s="353">
        <f t="shared" si="15"/>
        <v>7.6734046769718596</v>
      </c>
      <c r="AE50" s="268"/>
      <c r="AF50" s="206"/>
      <c r="AG50" s="206"/>
      <c r="AH50" s="208"/>
      <c r="AI50" s="206"/>
      <c r="AJ50" s="206"/>
      <c r="AK50" s="207"/>
      <c r="AL50" s="206"/>
      <c r="AM50" s="206"/>
      <c r="AN50" s="207"/>
      <c r="AO50" s="206"/>
      <c r="AP50" s="206"/>
      <c r="AQ50" s="207"/>
      <c r="AR50" s="206"/>
      <c r="AS50" s="206"/>
      <c r="AT50" s="207"/>
      <c r="AU50" s="206"/>
      <c r="AV50" s="206"/>
      <c r="AW50" s="207"/>
      <c r="AX50" s="206"/>
      <c r="AY50" s="206"/>
      <c r="AZ50" s="207"/>
      <c r="BA50" s="206"/>
      <c r="BB50" s="207"/>
      <c r="BC50" s="206"/>
      <c r="BD50" s="206"/>
      <c r="BE50" s="207"/>
      <c r="BF50" s="206"/>
      <c r="BG50" s="206"/>
      <c r="BH50" s="207"/>
      <c r="BI50" s="206"/>
      <c r="BJ50" s="206"/>
      <c r="BK50" s="207"/>
      <c r="BL50" s="206"/>
      <c r="BM50" s="206"/>
      <c r="BN50" s="207"/>
      <c r="BO50" s="206"/>
      <c r="BP50" s="207"/>
      <c r="BQ50" s="206"/>
      <c r="BR50" s="206"/>
      <c r="BS50" s="207"/>
      <c r="BT50" s="206"/>
      <c r="BU50" s="207"/>
      <c r="BV50" s="206"/>
      <c r="BW50" s="207"/>
      <c r="BX50" s="206"/>
      <c r="BY50" s="207"/>
      <c r="BZ50" s="206"/>
      <c r="CA50" s="207"/>
      <c r="CB50" s="206"/>
      <c r="CC50" s="207"/>
      <c r="CD50" s="206"/>
      <c r="CE50" s="207"/>
      <c r="CF50" s="206"/>
      <c r="CG50" s="207"/>
      <c r="CH50" s="206"/>
      <c r="CI50" s="207"/>
      <c r="CJ50" s="206"/>
      <c r="CK50" s="207"/>
      <c r="CL50" s="206"/>
      <c r="CM50" s="254"/>
    </row>
    <row r="51" spans="1:91" ht="10.5" customHeight="1" thickBot="1">
      <c r="A51" s="179" t="str">
        <f t="shared" si="0"/>
        <v/>
      </c>
      <c r="B51" s="359">
        <v>4.4999999999999998E-2</v>
      </c>
      <c r="C51" s="200"/>
      <c r="D51" s="200"/>
      <c r="E51" s="200"/>
      <c r="F51" s="200"/>
      <c r="G51" s="200"/>
      <c r="H51" s="199"/>
      <c r="I51" s="339"/>
      <c r="J51" s="349"/>
      <c r="K51" s="200"/>
      <c r="L51" s="200"/>
      <c r="M51" s="200"/>
      <c r="N51" s="198"/>
      <c r="O51" s="198"/>
      <c r="P51" s="319"/>
      <c r="Q51" s="200"/>
      <c r="R51" s="200"/>
      <c r="S51" s="197"/>
      <c r="T51" s="194"/>
      <c r="U51" s="197"/>
      <c r="V51" s="228"/>
      <c r="W51" s="217">
        <f t="shared" si="14"/>
        <v>46.875</v>
      </c>
      <c r="X51" s="371">
        <f t="shared" si="6"/>
        <v>32.855597620335324</v>
      </c>
      <c r="Y51" s="364">
        <v>30</v>
      </c>
      <c r="Z51" s="217">
        <f t="shared" si="9"/>
        <v>21.626913492346034</v>
      </c>
      <c r="AA51" s="362">
        <f t="shared" si="10"/>
        <v>18.058858501783586</v>
      </c>
      <c r="AB51" s="223">
        <f t="shared" si="12"/>
        <v>13.137975778546712</v>
      </c>
      <c r="AC51" s="192">
        <f t="shared" si="13"/>
        <v>8.408304498269894</v>
      </c>
      <c r="AD51" s="352">
        <f t="shared" si="15"/>
        <v>8.0261593341260422</v>
      </c>
      <c r="AE51" s="263"/>
      <c r="AF51" s="195"/>
      <c r="AG51" s="195"/>
      <c r="AH51" s="196"/>
      <c r="AI51" s="195"/>
      <c r="AJ51" s="195"/>
      <c r="AK51" s="194"/>
      <c r="AL51" s="195"/>
      <c r="AM51" s="195"/>
      <c r="AN51" s="194"/>
      <c r="AO51" s="195"/>
      <c r="AP51" s="195"/>
      <c r="AQ51" s="194"/>
      <c r="AR51" s="195"/>
      <c r="AS51" s="195"/>
      <c r="AT51" s="194"/>
      <c r="AU51" s="195"/>
      <c r="AV51" s="195"/>
      <c r="AW51" s="194"/>
      <c r="AX51" s="195"/>
      <c r="AY51" s="195"/>
      <c r="AZ51" s="194"/>
      <c r="BA51" s="195"/>
      <c r="BB51" s="194"/>
      <c r="BC51" s="195"/>
      <c r="BD51" s="195"/>
      <c r="BE51" s="194"/>
      <c r="BF51" s="195"/>
      <c r="BG51" s="195"/>
      <c r="BH51" s="194"/>
      <c r="BI51" s="195"/>
      <c r="BJ51" s="195"/>
      <c r="BK51" s="194"/>
      <c r="BL51" s="195"/>
      <c r="BM51" s="195"/>
      <c r="BN51" s="194"/>
      <c r="BO51" s="195"/>
      <c r="BP51" s="194"/>
      <c r="BQ51" s="195"/>
      <c r="BR51" s="195"/>
      <c r="BS51" s="194"/>
      <c r="BT51" s="195"/>
      <c r="BU51" s="194"/>
      <c r="BV51" s="195"/>
      <c r="BW51" s="194"/>
      <c r="BX51" s="195"/>
      <c r="BY51" s="194"/>
      <c r="BZ51" s="195"/>
      <c r="CA51" s="194"/>
      <c r="CB51" s="195"/>
      <c r="CC51" s="194"/>
      <c r="CD51" s="195"/>
      <c r="CE51" s="194"/>
      <c r="CF51" s="195"/>
      <c r="CG51" s="194"/>
      <c r="CH51" s="195"/>
      <c r="CI51" s="194"/>
      <c r="CJ51" s="195"/>
      <c r="CK51" s="194"/>
      <c r="CL51" s="195"/>
      <c r="CM51" s="258"/>
    </row>
    <row r="52" spans="1:91" ht="10.5" customHeight="1" thickBot="1">
      <c r="A52" s="179" t="str">
        <f t="shared" si="0"/>
        <v/>
      </c>
      <c r="B52" s="358">
        <v>4.5999999999999999E-2</v>
      </c>
      <c r="C52" s="189"/>
      <c r="D52" s="189"/>
      <c r="E52" s="189"/>
      <c r="F52" s="189"/>
      <c r="G52" s="189"/>
      <c r="H52" s="188"/>
      <c r="I52" s="336"/>
      <c r="J52" s="347"/>
      <c r="K52" s="189"/>
      <c r="L52" s="189"/>
      <c r="M52" s="189"/>
      <c r="N52" s="187"/>
      <c r="O52" s="187"/>
      <c r="P52" s="323"/>
      <c r="Q52" s="189"/>
      <c r="R52" s="189"/>
      <c r="S52" s="186"/>
      <c r="T52" s="183"/>
      <c r="U52" s="186"/>
      <c r="V52" s="215"/>
      <c r="W52" s="219">
        <f t="shared" si="14"/>
        <v>48.981481481481495</v>
      </c>
      <c r="X52" s="372">
        <f t="shared" si="6"/>
        <v>34.332071389940516</v>
      </c>
      <c r="Y52" s="369">
        <f t="shared" ref="Y52:Y75" si="16" xml:space="preserve"> 30*(B52/B$51)^2</f>
        <v>31.348148148148141</v>
      </c>
      <c r="Z52" s="214">
        <f t="shared" si="9"/>
        <v>22.598789604841585</v>
      </c>
      <c r="AA52" s="363">
        <f t="shared" si="10"/>
        <v>18.870392390011887</v>
      </c>
      <c r="AB52" s="221">
        <f t="shared" si="12"/>
        <v>13.728373702422143</v>
      </c>
      <c r="AC52" s="181">
        <f t="shared" si="13"/>
        <v>8.7861591695501708</v>
      </c>
      <c r="AD52" s="353">
        <f t="shared" si="15"/>
        <v>8.3868410622275071</v>
      </c>
      <c r="AE52" s="261"/>
      <c r="AF52" s="184"/>
      <c r="AG52" s="184"/>
      <c r="AH52" s="185"/>
      <c r="AI52" s="184"/>
      <c r="AJ52" s="184"/>
      <c r="AK52" s="183"/>
      <c r="AL52" s="184"/>
      <c r="AM52" s="184"/>
      <c r="AN52" s="183"/>
      <c r="AO52" s="184"/>
      <c r="AP52" s="184"/>
      <c r="AQ52" s="183"/>
      <c r="AR52" s="184"/>
      <c r="AS52" s="184"/>
      <c r="AT52" s="183"/>
      <c r="AU52" s="184"/>
      <c r="AV52" s="184"/>
      <c r="AW52" s="183"/>
      <c r="AX52" s="184"/>
      <c r="AY52" s="184"/>
      <c r="AZ52" s="183"/>
      <c r="BA52" s="184"/>
      <c r="BB52" s="183"/>
      <c r="BC52" s="184"/>
      <c r="BD52" s="184"/>
      <c r="BE52" s="183"/>
      <c r="BF52" s="184"/>
      <c r="BG52" s="184"/>
      <c r="BH52" s="183"/>
      <c r="BI52" s="184"/>
      <c r="BJ52" s="184"/>
      <c r="BK52" s="183"/>
      <c r="BL52" s="184"/>
      <c r="BM52" s="184"/>
      <c r="BN52" s="183"/>
      <c r="BO52" s="184"/>
      <c r="BP52" s="183"/>
      <c r="BQ52" s="184"/>
      <c r="BR52" s="184"/>
      <c r="BS52" s="183"/>
      <c r="BT52" s="184"/>
      <c r="BU52" s="183"/>
      <c r="BV52" s="184"/>
      <c r="BW52" s="183"/>
      <c r="BX52" s="184"/>
      <c r="BY52" s="183"/>
      <c r="BZ52" s="184"/>
      <c r="CA52" s="183"/>
      <c r="CB52" s="184"/>
      <c r="CC52" s="183"/>
      <c r="CD52" s="184"/>
      <c r="CE52" s="183"/>
      <c r="CF52" s="184"/>
      <c r="CG52" s="183"/>
      <c r="CH52" s="184"/>
      <c r="CI52" s="183"/>
      <c r="CJ52" s="184"/>
      <c r="CK52" s="183"/>
      <c r="CL52" s="184"/>
      <c r="CM52" s="256"/>
    </row>
    <row r="53" spans="1:91" ht="10.5" customHeight="1" thickBot="1">
      <c r="A53" s="179" t="str">
        <f t="shared" si="0"/>
        <v/>
      </c>
      <c r="B53" s="358">
        <v>4.7E-2</v>
      </c>
      <c r="C53" s="189"/>
      <c r="D53" s="189"/>
      <c r="E53" s="189"/>
      <c r="F53" s="189"/>
      <c r="G53" s="189"/>
      <c r="H53" s="188"/>
      <c r="I53" s="336"/>
      <c r="J53" s="347"/>
      <c r="K53" s="189"/>
      <c r="L53" s="189"/>
      <c r="M53" s="189"/>
      <c r="N53" s="187"/>
      <c r="O53" s="187"/>
      <c r="P53" s="323"/>
      <c r="Q53" s="189"/>
      <c r="R53" s="189"/>
      <c r="S53" s="186"/>
      <c r="T53" s="183"/>
      <c r="U53" s="186"/>
      <c r="V53" s="215"/>
      <c r="W53" s="217">
        <f t="shared" si="14"/>
        <v>51.13425925925926</v>
      </c>
      <c r="X53" s="371">
        <f t="shared" si="6"/>
        <v>35.840995132504069</v>
      </c>
      <c r="Y53" s="369">
        <f t="shared" si="16"/>
        <v>32.725925925925935</v>
      </c>
      <c r="Z53" s="214">
        <f t="shared" si="9"/>
        <v>23.592025631897474</v>
      </c>
      <c r="AA53" s="362">
        <f t="shared" si="10"/>
        <v>19.699762187871578</v>
      </c>
      <c r="AB53" s="221">
        <f t="shared" si="12"/>
        <v>14.33174740484429</v>
      </c>
      <c r="AC53" s="214">
        <f t="shared" si="13"/>
        <v>9.1723183391003431</v>
      </c>
      <c r="AD53" s="352">
        <f t="shared" si="15"/>
        <v>8.7554498612762579</v>
      </c>
      <c r="AE53" s="240">
        <f t="shared" ref="AE53:AE84" si="17" xml:space="preserve"> 30*(B53/B$107)^2</f>
        <v>5.4768595041322303</v>
      </c>
      <c r="AF53" s="284"/>
      <c r="AG53" s="284"/>
      <c r="AH53" s="185"/>
      <c r="AI53" s="184"/>
      <c r="AJ53" s="184"/>
      <c r="AK53" s="183"/>
      <c r="AL53" s="278"/>
      <c r="AM53" s="184"/>
      <c r="AN53" s="183"/>
      <c r="AO53" s="184"/>
      <c r="AP53" s="184"/>
      <c r="AQ53" s="183"/>
      <c r="AR53" s="184"/>
      <c r="AS53" s="184"/>
      <c r="AT53" s="183"/>
      <c r="AU53" s="184"/>
      <c r="AV53" s="184"/>
      <c r="AW53" s="183"/>
      <c r="AX53" s="184"/>
      <c r="AY53" s="184"/>
      <c r="AZ53" s="183"/>
      <c r="BA53" s="184"/>
      <c r="BB53" s="183"/>
      <c r="BC53" s="184"/>
      <c r="BD53" s="184"/>
      <c r="BE53" s="183"/>
      <c r="BF53" s="184"/>
      <c r="BG53" s="184"/>
      <c r="BH53" s="183"/>
      <c r="BI53" s="184"/>
      <c r="BJ53" s="184"/>
      <c r="BK53" s="183"/>
      <c r="BL53" s="184"/>
      <c r="BM53" s="184"/>
      <c r="BN53" s="183"/>
      <c r="BO53" s="184"/>
      <c r="BP53" s="183"/>
      <c r="BQ53" s="184"/>
      <c r="BR53" s="184"/>
      <c r="BS53" s="183"/>
      <c r="BT53" s="184"/>
      <c r="BU53" s="183"/>
      <c r="BV53" s="184"/>
      <c r="BW53" s="183"/>
      <c r="BX53" s="184"/>
      <c r="BY53" s="183"/>
      <c r="BZ53" s="184"/>
      <c r="CA53" s="183"/>
      <c r="CB53" s="184"/>
      <c r="CC53" s="183"/>
      <c r="CD53" s="184"/>
      <c r="CE53" s="183"/>
      <c r="CF53" s="184"/>
      <c r="CG53" s="183"/>
      <c r="CH53" s="184"/>
      <c r="CI53" s="183"/>
      <c r="CJ53" s="184"/>
      <c r="CK53" s="183"/>
      <c r="CL53" s="184"/>
      <c r="CM53" s="256"/>
    </row>
    <row r="54" spans="1:91" ht="10.5" customHeight="1">
      <c r="A54" s="179" t="str">
        <f t="shared" si="0"/>
        <v/>
      </c>
      <c r="B54" s="360">
        <v>4.8000000000000001E-2</v>
      </c>
      <c r="C54" s="212"/>
      <c r="D54" s="212"/>
      <c r="E54" s="212"/>
      <c r="F54" s="212"/>
      <c r="G54" s="212"/>
      <c r="H54" s="211"/>
      <c r="I54" s="341"/>
      <c r="J54" s="346"/>
      <c r="K54" s="212"/>
      <c r="L54" s="212"/>
      <c r="M54" s="212"/>
      <c r="N54" s="210"/>
      <c r="O54" s="210"/>
      <c r="P54" s="321"/>
      <c r="Q54" s="212"/>
      <c r="R54" s="212"/>
      <c r="S54" s="209"/>
      <c r="T54" s="207"/>
      <c r="U54" s="209"/>
      <c r="V54" s="205"/>
      <c r="W54" s="219">
        <f t="shared" si="14"/>
        <v>53.333333333333343</v>
      </c>
      <c r="X54" s="372">
        <f t="shared" si="6"/>
        <v>37.382368848025976</v>
      </c>
      <c r="Y54" s="368">
        <f t="shared" si="16"/>
        <v>34.133333333333333</v>
      </c>
      <c r="Z54" s="219">
        <f t="shared" si="9"/>
        <v>24.606621573513706</v>
      </c>
      <c r="AA54" s="363">
        <f t="shared" si="10"/>
        <v>20.546967895362663</v>
      </c>
      <c r="AB54" s="225">
        <f t="shared" si="12"/>
        <v>14.948096885813147</v>
      </c>
      <c r="AC54" s="219">
        <f t="shared" si="13"/>
        <v>9.5667820069204144</v>
      </c>
      <c r="AD54" s="353">
        <f t="shared" si="15"/>
        <v>9.1319857312722998</v>
      </c>
      <c r="AE54" s="202">
        <f t="shared" si="17"/>
        <v>5.7123966942148767</v>
      </c>
      <c r="AF54" s="283"/>
      <c r="AG54" s="283"/>
      <c r="AH54" s="208"/>
      <c r="AI54" s="206"/>
      <c r="AJ54" s="206"/>
      <c r="AK54" s="207"/>
      <c r="AL54" s="206"/>
      <c r="AM54" s="206"/>
      <c r="AN54" s="207"/>
      <c r="AO54" s="206"/>
      <c r="AP54" s="206"/>
      <c r="AQ54" s="207"/>
      <c r="AR54" s="206"/>
      <c r="AS54" s="206"/>
      <c r="AT54" s="207"/>
      <c r="AU54" s="206"/>
      <c r="AV54" s="206"/>
      <c r="AW54" s="207"/>
      <c r="AX54" s="206"/>
      <c r="AY54" s="206"/>
      <c r="AZ54" s="207"/>
      <c r="BA54" s="206"/>
      <c r="BB54" s="207"/>
      <c r="BC54" s="206"/>
      <c r="BD54" s="206"/>
      <c r="BE54" s="207"/>
      <c r="BF54" s="206"/>
      <c r="BG54" s="206"/>
      <c r="BH54" s="207"/>
      <c r="BI54" s="206"/>
      <c r="BJ54" s="206"/>
      <c r="BK54" s="207"/>
      <c r="BL54" s="206"/>
      <c r="BM54" s="206"/>
      <c r="BN54" s="207"/>
      <c r="BO54" s="206"/>
      <c r="BP54" s="207"/>
      <c r="BQ54" s="206"/>
      <c r="BR54" s="206"/>
      <c r="BS54" s="207"/>
      <c r="BT54" s="206"/>
      <c r="BU54" s="207"/>
      <c r="BV54" s="206"/>
      <c r="BW54" s="207"/>
      <c r="BX54" s="206"/>
      <c r="BY54" s="207"/>
      <c r="BZ54" s="206"/>
      <c r="CA54" s="207"/>
      <c r="CB54" s="206"/>
      <c r="CC54" s="207"/>
      <c r="CD54" s="206"/>
      <c r="CE54" s="207"/>
      <c r="CF54" s="206"/>
      <c r="CG54" s="207"/>
      <c r="CH54" s="206"/>
      <c r="CI54" s="207"/>
      <c r="CJ54" s="206"/>
      <c r="CK54" s="207"/>
      <c r="CL54" s="206"/>
      <c r="CM54" s="254"/>
    </row>
    <row r="55" spans="1:91" ht="10.5" customHeight="1" thickBot="1">
      <c r="A55" s="179" t="str">
        <f t="shared" si="0"/>
        <v/>
      </c>
      <c r="B55" s="359">
        <v>4.9000000000000002E-2</v>
      </c>
      <c r="C55" s="200"/>
      <c r="D55" s="200"/>
      <c r="E55" s="200"/>
      <c r="F55" s="200"/>
      <c r="G55" s="200"/>
      <c r="H55" s="199"/>
      <c r="I55" s="339"/>
      <c r="J55" s="349"/>
      <c r="K55" s="200"/>
      <c r="L55" s="200"/>
      <c r="M55" s="200"/>
      <c r="N55" s="198"/>
      <c r="O55" s="198"/>
      <c r="P55" s="319"/>
      <c r="Q55" s="200"/>
      <c r="R55" s="200"/>
      <c r="S55" s="197"/>
      <c r="T55" s="194"/>
      <c r="U55" s="197"/>
      <c r="V55" s="228"/>
      <c r="W55" s="217">
        <f t="shared" si="14"/>
        <v>55.578703703703709</v>
      </c>
      <c r="X55" s="371">
        <f t="shared" ref="X55:X72" si="18" xml:space="preserve"> 30*(B55/B$49)^2</f>
        <v>38.956192536506222</v>
      </c>
      <c r="Y55" s="367">
        <f t="shared" si="16"/>
        <v>35.570370370370377</v>
      </c>
      <c r="Z55" s="217">
        <f t="shared" si="9"/>
        <v>25.642577429690284</v>
      </c>
      <c r="AA55" s="362">
        <f t="shared" si="10"/>
        <v>21.412009512485138</v>
      </c>
      <c r="AB55" s="223">
        <f t="shared" si="12"/>
        <v>15.57742214532872</v>
      </c>
      <c r="AC55" s="217">
        <f t="shared" si="13"/>
        <v>9.9695501730103793</v>
      </c>
      <c r="AD55" s="352">
        <f t="shared" si="15"/>
        <v>9.5164486722156205</v>
      </c>
      <c r="AE55" s="191">
        <f t="shared" si="17"/>
        <v>5.9528925619834725</v>
      </c>
      <c r="AF55" s="377"/>
      <c r="AG55" s="303"/>
      <c r="AH55" s="196"/>
      <c r="AI55" s="195"/>
      <c r="AJ55" s="195"/>
      <c r="AK55" s="194"/>
      <c r="AL55" s="195"/>
      <c r="AM55" s="195"/>
      <c r="AN55" s="194"/>
      <c r="AO55" s="195"/>
      <c r="AP55" s="195"/>
      <c r="AQ55" s="194"/>
      <c r="AR55" s="195"/>
      <c r="AS55" s="195"/>
      <c r="AT55" s="194"/>
      <c r="AU55" s="195"/>
      <c r="AV55" s="195"/>
      <c r="AW55" s="194"/>
      <c r="AX55" s="195"/>
      <c r="AY55" s="195"/>
      <c r="AZ55" s="194"/>
      <c r="BA55" s="195"/>
      <c r="BB55" s="194"/>
      <c r="BC55" s="195"/>
      <c r="BD55" s="195"/>
      <c r="BE55" s="194"/>
      <c r="BF55" s="195"/>
      <c r="BG55" s="195"/>
      <c r="BH55" s="194"/>
      <c r="BI55" s="195"/>
      <c r="BJ55" s="195"/>
      <c r="BK55" s="194"/>
      <c r="BL55" s="195"/>
      <c r="BM55" s="195"/>
      <c r="BN55" s="194"/>
      <c r="BO55" s="195"/>
      <c r="BP55" s="194"/>
      <c r="BQ55" s="195"/>
      <c r="BR55" s="195"/>
      <c r="BS55" s="194"/>
      <c r="BT55" s="195"/>
      <c r="BU55" s="194"/>
      <c r="BV55" s="195"/>
      <c r="BW55" s="194"/>
      <c r="BX55" s="195"/>
      <c r="BY55" s="194"/>
      <c r="BZ55" s="195"/>
      <c r="CA55" s="194"/>
      <c r="CB55" s="195"/>
      <c r="CC55" s="194"/>
      <c r="CD55" s="195"/>
      <c r="CE55" s="194"/>
      <c r="CF55" s="195"/>
      <c r="CG55" s="194"/>
      <c r="CH55" s="195"/>
      <c r="CI55" s="194"/>
      <c r="CJ55" s="195"/>
      <c r="CK55" s="194"/>
      <c r="CL55" s="195"/>
      <c r="CM55" s="258"/>
    </row>
    <row r="56" spans="1:91" ht="10.5" customHeight="1" thickBot="1">
      <c r="A56" s="179" t="str">
        <f t="shared" si="0"/>
        <v/>
      </c>
      <c r="B56" s="358">
        <v>0.05</v>
      </c>
      <c r="C56" s="187"/>
      <c r="D56" s="187"/>
      <c r="E56" s="189"/>
      <c r="F56" s="189"/>
      <c r="G56" s="189"/>
      <c r="H56" s="188"/>
      <c r="I56" s="336"/>
      <c r="J56" s="347"/>
      <c r="K56" s="187"/>
      <c r="L56" s="187"/>
      <c r="M56" s="187"/>
      <c r="N56" s="187"/>
      <c r="O56" s="187"/>
      <c r="P56" s="323"/>
      <c r="Q56" s="187"/>
      <c r="R56" s="187"/>
      <c r="S56" s="186"/>
      <c r="T56" s="183"/>
      <c r="U56" s="186"/>
      <c r="V56" s="215"/>
      <c r="W56" s="219">
        <f t="shared" si="14"/>
        <v>57.870370370370388</v>
      </c>
      <c r="X56" s="372">
        <f t="shared" si="18"/>
        <v>40.562466197944836</v>
      </c>
      <c r="Y56" s="369">
        <f t="shared" si="16"/>
        <v>37.037037037037038</v>
      </c>
      <c r="Z56" s="214">
        <f t="shared" si="9"/>
        <v>26.699893200427205</v>
      </c>
      <c r="AA56" s="363">
        <f t="shared" si="10"/>
        <v>22.294887039239004</v>
      </c>
      <c r="AB56" s="221">
        <f t="shared" si="12"/>
        <v>16.219723183391</v>
      </c>
      <c r="AC56" s="214">
        <f t="shared" si="13"/>
        <v>10.380622837370243</v>
      </c>
      <c r="AD56" s="353">
        <f t="shared" si="15"/>
        <v>9.9088386841062253</v>
      </c>
      <c r="AE56" s="180">
        <f t="shared" si="17"/>
        <v>6.1983471074380176</v>
      </c>
      <c r="AF56" s="283"/>
      <c r="AG56" s="284"/>
      <c r="AH56" s="185"/>
      <c r="AI56" s="184"/>
      <c r="AJ56" s="184"/>
      <c r="AK56" s="183"/>
      <c r="AL56" s="184"/>
      <c r="AM56" s="184"/>
      <c r="AN56" s="183"/>
      <c r="AO56" s="184"/>
      <c r="AP56" s="184"/>
      <c r="AQ56" s="183"/>
      <c r="AR56" s="184"/>
      <c r="AS56" s="184"/>
      <c r="AT56" s="183"/>
      <c r="AU56" s="184"/>
      <c r="AV56" s="184"/>
      <c r="AW56" s="183"/>
      <c r="AX56" s="184"/>
      <c r="AY56" s="184"/>
      <c r="AZ56" s="183"/>
      <c r="BA56" s="184"/>
      <c r="BB56" s="183"/>
      <c r="BC56" s="184"/>
      <c r="BD56" s="184"/>
      <c r="BE56" s="183"/>
      <c r="BF56" s="184"/>
      <c r="BG56" s="184"/>
      <c r="BH56" s="183"/>
      <c r="BI56" s="184"/>
      <c r="BJ56" s="184"/>
      <c r="BK56" s="183"/>
      <c r="BL56" s="184"/>
      <c r="BM56" s="184"/>
      <c r="BN56" s="183"/>
      <c r="BO56" s="184"/>
      <c r="BP56" s="183"/>
      <c r="BQ56" s="184"/>
      <c r="BR56" s="184"/>
      <c r="BS56" s="183"/>
      <c r="BT56" s="184"/>
      <c r="BU56" s="183"/>
      <c r="BV56" s="184"/>
      <c r="BW56" s="183"/>
      <c r="BX56" s="184"/>
      <c r="BY56" s="183"/>
      <c r="BZ56" s="184"/>
      <c r="CA56" s="183"/>
      <c r="CB56" s="184"/>
      <c r="CC56" s="183"/>
      <c r="CD56" s="184"/>
      <c r="CE56" s="183"/>
      <c r="CF56" s="184"/>
      <c r="CG56" s="183"/>
      <c r="CH56" s="184"/>
      <c r="CI56" s="183"/>
      <c r="CJ56" s="184"/>
      <c r="CK56" s="183"/>
      <c r="CL56" s="184"/>
      <c r="CM56" s="256"/>
    </row>
    <row r="57" spans="1:91" ht="10.5" customHeight="1" thickBot="1">
      <c r="A57" s="179" t="str">
        <f t="shared" si="0"/>
        <v/>
      </c>
      <c r="B57" s="358">
        <v>5.0999999999999997E-2</v>
      </c>
      <c r="C57" s="187"/>
      <c r="D57" s="187"/>
      <c r="E57" s="189"/>
      <c r="F57" s="189"/>
      <c r="G57" s="189"/>
      <c r="H57" s="188"/>
      <c r="I57" s="336"/>
      <c r="J57" s="347"/>
      <c r="K57" s="187"/>
      <c r="L57" s="187"/>
      <c r="M57" s="187"/>
      <c r="N57" s="187"/>
      <c r="O57" s="187"/>
      <c r="P57" s="323"/>
      <c r="Q57" s="187"/>
      <c r="R57" s="187"/>
      <c r="S57" s="186"/>
      <c r="T57" s="183"/>
      <c r="U57" s="186"/>
      <c r="V57" s="215"/>
      <c r="W57" s="217">
        <f t="shared" si="14"/>
        <v>60.208333333333343</v>
      </c>
      <c r="X57" s="371">
        <f t="shared" si="18"/>
        <v>42.201189832341811</v>
      </c>
      <c r="Y57" s="369">
        <f t="shared" si="16"/>
        <v>38.533333333333331</v>
      </c>
      <c r="Z57" s="214">
        <f t="shared" si="9"/>
        <v>27.778568885724457</v>
      </c>
      <c r="AA57" s="362">
        <f t="shared" si="10"/>
        <v>23.19560047562425</v>
      </c>
      <c r="AB57" s="221">
        <f t="shared" si="12"/>
        <v>16.874999999999993</v>
      </c>
      <c r="AC57" s="214">
        <f t="shared" si="13"/>
        <v>10.799999999999995</v>
      </c>
      <c r="AD57" s="352">
        <f t="shared" si="15"/>
        <v>10.309155766944112</v>
      </c>
      <c r="AE57" s="180">
        <f t="shared" si="17"/>
        <v>6.4487603305785122</v>
      </c>
      <c r="AF57" s="376">
        <f t="shared" ref="AF57:AF88" si="19" xml:space="preserve"> 30*(B57/B$109)^2</f>
        <v>4.6171597633136079</v>
      </c>
      <c r="AG57" s="284"/>
      <c r="AH57" s="185"/>
      <c r="AI57" s="184"/>
      <c r="AJ57" s="184"/>
      <c r="AK57" s="183"/>
      <c r="AL57" s="184"/>
      <c r="AM57" s="184"/>
      <c r="AN57" s="183"/>
      <c r="AO57" s="184"/>
      <c r="AP57" s="184"/>
      <c r="AQ57" s="183"/>
      <c r="AR57" s="184"/>
      <c r="AS57" s="184"/>
      <c r="AT57" s="183"/>
      <c r="AU57" s="184"/>
      <c r="AV57" s="184"/>
      <c r="AW57" s="183"/>
      <c r="AX57" s="184"/>
      <c r="AY57" s="184"/>
      <c r="AZ57" s="183"/>
      <c r="BA57" s="184"/>
      <c r="BB57" s="183"/>
      <c r="BC57" s="184"/>
      <c r="BD57" s="184"/>
      <c r="BE57" s="183"/>
      <c r="BF57" s="184"/>
      <c r="BG57" s="184"/>
      <c r="BH57" s="183"/>
      <c r="BI57" s="184"/>
      <c r="BJ57" s="184"/>
      <c r="BK57" s="183"/>
      <c r="BL57" s="184"/>
      <c r="BM57" s="184"/>
      <c r="BN57" s="183"/>
      <c r="BO57" s="184"/>
      <c r="BP57" s="183"/>
      <c r="BQ57" s="184"/>
      <c r="BR57" s="184"/>
      <c r="BS57" s="183"/>
      <c r="BT57" s="184"/>
      <c r="BU57" s="183"/>
      <c r="BV57" s="184"/>
      <c r="BW57" s="183"/>
      <c r="BX57" s="184"/>
      <c r="BY57" s="183"/>
      <c r="BZ57" s="184"/>
      <c r="CA57" s="183"/>
      <c r="CB57" s="184"/>
      <c r="CC57" s="183"/>
      <c r="CD57" s="184"/>
      <c r="CE57" s="183"/>
      <c r="CF57" s="184"/>
      <c r="CG57" s="183"/>
      <c r="CH57" s="184"/>
      <c r="CI57" s="183"/>
      <c r="CJ57" s="184"/>
      <c r="CK57" s="183"/>
      <c r="CL57" s="184"/>
      <c r="CM57" s="256"/>
    </row>
    <row r="58" spans="1:91" ht="10.5" customHeight="1">
      <c r="A58" s="179" t="str">
        <f t="shared" si="0"/>
        <v/>
      </c>
      <c r="B58" s="360">
        <v>5.1999999999999998E-2</v>
      </c>
      <c r="C58" s="210"/>
      <c r="D58" s="210"/>
      <c r="E58" s="212"/>
      <c r="F58" s="212"/>
      <c r="G58" s="212"/>
      <c r="H58" s="211"/>
      <c r="I58" s="341"/>
      <c r="J58" s="346"/>
      <c r="K58" s="210"/>
      <c r="L58" s="210"/>
      <c r="M58" s="210"/>
      <c r="N58" s="210"/>
      <c r="O58" s="210"/>
      <c r="P58" s="321"/>
      <c r="Q58" s="210"/>
      <c r="R58" s="210"/>
      <c r="S58" s="209"/>
      <c r="T58" s="207"/>
      <c r="U58" s="209"/>
      <c r="V58" s="205"/>
      <c r="W58" s="219">
        <f t="shared" si="14"/>
        <v>62.592592592592588</v>
      </c>
      <c r="X58" s="372">
        <f t="shared" si="18"/>
        <v>43.872363439697139</v>
      </c>
      <c r="Y58" s="368">
        <f t="shared" si="16"/>
        <v>40.05925925925925</v>
      </c>
      <c r="Z58" s="219">
        <f t="shared" si="9"/>
        <v>28.878604485582056</v>
      </c>
      <c r="AA58" s="363">
        <f t="shared" si="10"/>
        <v>24.1141498216409</v>
      </c>
      <c r="AB58" s="225">
        <f t="shared" si="12"/>
        <v>17.543252595155707</v>
      </c>
      <c r="AC58" s="219">
        <f t="shared" si="13"/>
        <v>11.227681660899652</v>
      </c>
      <c r="AD58" s="353">
        <f t="shared" si="15"/>
        <v>10.717399920729292</v>
      </c>
      <c r="AE58" s="202">
        <f t="shared" si="17"/>
        <v>6.7041322314049587</v>
      </c>
      <c r="AF58" s="375">
        <f t="shared" si="19"/>
        <v>4.7999999999999989</v>
      </c>
      <c r="AG58" s="283"/>
      <c r="AH58" s="208"/>
      <c r="AI58" s="206"/>
      <c r="AJ58" s="206"/>
      <c r="AK58" s="207"/>
      <c r="AL58" s="206"/>
      <c r="AM58" s="206"/>
      <c r="AN58" s="207"/>
      <c r="AO58" s="206"/>
      <c r="AP58" s="206"/>
      <c r="AQ58" s="207"/>
      <c r="AR58" s="206"/>
      <c r="AS58" s="206"/>
      <c r="AT58" s="207"/>
      <c r="AU58" s="206"/>
      <c r="AV58" s="206"/>
      <c r="AW58" s="207"/>
      <c r="AX58" s="206"/>
      <c r="AY58" s="206"/>
      <c r="AZ58" s="207"/>
      <c r="BA58" s="206"/>
      <c r="BB58" s="207"/>
      <c r="BC58" s="206"/>
      <c r="BD58" s="206"/>
      <c r="BE58" s="207"/>
      <c r="BF58" s="206"/>
      <c r="BG58" s="206"/>
      <c r="BH58" s="207"/>
      <c r="BI58" s="206"/>
      <c r="BJ58" s="206"/>
      <c r="BK58" s="207"/>
      <c r="BL58" s="206"/>
      <c r="BM58" s="206"/>
      <c r="BN58" s="207"/>
      <c r="BO58" s="206"/>
      <c r="BP58" s="207"/>
      <c r="BQ58" s="206"/>
      <c r="BR58" s="206"/>
      <c r="BS58" s="207"/>
      <c r="BT58" s="206"/>
      <c r="BU58" s="207"/>
      <c r="BV58" s="206"/>
      <c r="BW58" s="207"/>
      <c r="BX58" s="206"/>
      <c r="BY58" s="207"/>
      <c r="BZ58" s="206"/>
      <c r="CA58" s="207"/>
      <c r="CB58" s="206"/>
      <c r="CC58" s="207"/>
      <c r="CD58" s="206"/>
      <c r="CE58" s="207"/>
      <c r="CF58" s="206"/>
      <c r="CG58" s="207"/>
      <c r="CH58" s="206"/>
      <c r="CI58" s="207"/>
      <c r="CJ58" s="206"/>
      <c r="CK58" s="207"/>
      <c r="CL58" s="206"/>
      <c r="CM58" s="254"/>
    </row>
    <row r="59" spans="1:91" ht="10.5" customHeight="1" thickBot="1">
      <c r="A59" s="179" t="str">
        <f t="shared" si="0"/>
        <v/>
      </c>
      <c r="B59" s="359">
        <v>5.2999999999999999E-2</v>
      </c>
      <c r="C59" s="198"/>
      <c r="D59" s="198"/>
      <c r="E59" s="200"/>
      <c r="F59" s="200"/>
      <c r="G59" s="200"/>
      <c r="H59" s="199"/>
      <c r="I59" s="339"/>
      <c r="J59" s="349"/>
      <c r="K59" s="198"/>
      <c r="L59" s="198"/>
      <c r="M59" s="198"/>
      <c r="N59" s="198"/>
      <c r="O59" s="198"/>
      <c r="P59" s="319"/>
      <c r="Q59" s="198"/>
      <c r="R59" s="198"/>
      <c r="S59" s="197"/>
      <c r="T59" s="194"/>
      <c r="U59" s="197"/>
      <c r="V59" s="228"/>
      <c r="W59" s="217">
        <f t="shared" si="14"/>
        <v>65.023148148148167</v>
      </c>
      <c r="X59" s="371">
        <f t="shared" si="18"/>
        <v>45.575987020010814</v>
      </c>
      <c r="Y59" s="367">
        <f t="shared" si="16"/>
        <v>41.614814814814821</v>
      </c>
      <c r="Z59" s="234">
        <v>30</v>
      </c>
      <c r="AA59" s="362">
        <f t="shared" si="10"/>
        <v>25.050535077288938</v>
      </c>
      <c r="AB59" s="223">
        <f t="shared" si="12"/>
        <v>18.224480968858124</v>
      </c>
      <c r="AC59" s="217">
        <f t="shared" si="13"/>
        <v>11.6636678200692</v>
      </c>
      <c r="AD59" s="352">
        <f t="shared" si="15"/>
        <v>11.133571145461753</v>
      </c>
      <c r="AE59" s="191">
        <f t="shared" si="17"/>
        <v>6.9644628099173556</v>
      </c>
      <c r="AF59" s="374">
        <f t="shared" si="19"/>
        <v>4.9863905325443785</v>
      </c>
      <c r="AG59" s="303"/>
      <c r="AH59" s="196"/>
      <c r="AI59" s="278" t="s">
        <v>3553</v>
      </c>
      <c r="AJ59" s="195"/>
      <c r="AK59" s="194"/>
      <c r="AL59" s="195"/>
      <c r="AM59" s="195"/>
      <c r="AN59" s="194"/>
      <c r="AO59" s="195"/>
      <c r="AP59" s="195"/>
      <c r="AQ59" s="194"/>
      <c r="AR59" s="195"/>
      <c r="AS59" s="195"/>
      <c r="AT59" s="194"/>
      <c r="AU59" s="195"/>
      <c r="AV59" s="195"/>
      <c r="AW59" s="194"/>
      <c r="AX59" s="195"/>
      <c r="AY59" s="195"/>
      <c r="AZ59" s="194"/>
      <c r="BA59" s="195"/>
      <c r="BB59" s="194"/>
      <c r="BC59" s="195"/>
      <c r="BD59" s="195"/>
      <c r="BE59" s="194"/>
      <c r="BF59" s="195"/>
      <c r="BG59" s="195"/>
      <c r="BH59" s="194"/>
      <c r="BI59" s="195"/>
      <c r="BJ59" s="195"/>
      <c r="BK59" s="194"/>
      <c r="BL59" s="195"/>
      <c r="BM59" s="195"/>
      <c r="BN59" s="194"/>
      <c r="BO59" s="195"/>
      <c r="BP59" s="194"/>
      <c r="BQ59" s="195"/>
      <c r="BR59" s="195"/>
      <c r="BS59" s="194"/>
      <c r="BT59" s="195"/>
      <c r="BU59" s="194"/>
      <c r="BV59" s="195"/>
      <c r="BW59" s="194"/>
      <c r="BX59" s="195"/>
      <c r="BY59" s="194"/>
      <c r="BZ59" s="195"/>
      <c r="CA59" s="194"/>
      <c r="CB59" s="195"/>
      <c r="CC59" s="194"/>
      <c r="CD59" s="195"/>
      <c r="CE59" s="194"/>
      <c r="CF59" s="195"/>
      <c r="CG59" s="194"/>
      <c r="CH59" s="195"/>
      <c r="CI59" s="194"/>
      <c r="CJ59" s="195"/>
      <c r="CK59" s="194"/>
      <c r="CL59" s="195"/>
      <c r="CM59" s="258"/>
    </row>
    <row r="60" spans="1:91" ht="10.5" customHeight="1" thickBot="1">
      <c r="A60" s="179" t="str">
        <f t="shared" si="0"/>
        <v/>
      </c>
      <c r="B60" s="358">
        <v>5.3999999999999999E-2</v>
      </c>
      <c r="C60" s="187"/>
      <c r="D60" s="187"/>
      <c r="E60" s="189"/>
      <c r="F60" s="189"/>
      <c r="G60" s="189"/>
      <c r="H60" s="188"/>
      <c r="I60" s="336"/>
      <c r="J60" s="347"/>
      <c r="K60" s="187"/>
      <c r="L60" s="187"/>
      <c r="M60" s="187"/>
      <c r="N60" s="187"/>
      <c r="O60" s="187"/>
      <c r="P60" s="323"/>
      <c r="Q60" s="187"/>
      <c r="R60" s="187"/>
      <c r="S60" s="186"/>
      <c r="T60" s="183"/>
      <c r="U60" s="186"/>
      <c r="V60" s="215"/>
      <c r="W60" s="219">
        <f t="shared" si="14"/>
        <v>67.5</v>
      </c>
      <c r="X60" s="372">
        <f t="shared" si="18"/>
        <v>47.312060573282857</v>
      </c>
      <c r="Y60" s="369">
        <f t="shared" si="16"/>
        <v>43.199999999999996</v>
      </c>
      <c r="Z60" s="214">
        <f t="shared" ref="Z60:Z87" si="20" xml:space="preserve"> 30*(B60/B$59)^2</f>
        <v>31.142755428978287</v>
      </c>
      <c r="AA60" s="363">
        <f t="shared" si="10"/>
        <v>26.004756242568369</v>
      </c>
      <c r="AB60" s="221">
        <f t="shared" si="12"/>
        <v>18.918685121107266</v>
      </c>
      <c r="AC60" s="214">
        <f t="shared" si="13"/>
        <v>12.107958477508648</v>
      </c>
      <c r="AD60" s="353">
        <f t="shared" si="15"/>
        <v>11.557669441141499</v>
      </c>
      <c r="AE60" s="180">
        <f t="shared" si="17"/>
        <v>7.2297520661157026</v>
      </c>
      <c r="AF60" s="373">
        <f t="shared" si="19"/>
        <v>5.1763313609467447</v>
      </c>
      <c r="AG60" s="284"/>
      <c r="AH60" s="185"/>
      <c r="AI60" s="184"/>
      <c r="AJ60" s="184"/>
      <c r="AK60" s="183"/>
      <c r="AL60" s="184"/>
      <c r="AM60" s="184"/>
      <c r="AN60" s="183"/>
      <c r="AO60" s="184"/>
      <c r="AP60" s="184"/>
      <c r="AQ60" s="183"/>
      <c r="AR60" s="184"/>
      <c r="AS60" s="184"/>
      <c r="AT60" s="183"/>
      <c r="AU60" s="184"/>
      <c r="AV60" s="184"/>
      <c r="AW60" s="183"/>
      <c r="AX60" s="184"/>
      <c r="AY60" s="184"/>
      <c r="AZ60" s="183"/>
      <c r="BA60" s="184"/>
      <c r="BB60" s="183"/>
      <c r="BC60" s="184"/>
      <c r="BD60" s="184"/>
      <c r="BE60" s="183"/>
      <c r="BF60" s="184"/>
      <c r="BG60" s="184"/>
      <c r="BH60" s="183"/>
      <c r="BI60" s="184"/>
      <c r="BJ60" s="184"/>
      <c r="BK60" s="183"/>
      <c r="BL60" s="184"/>
      <c r="BM60" s="184"/>
      <c r="BN60" s="183"/>
      <c r="BO60" s="184"/>
      <c r="BP60" s="183"/>
      <c r="BQ60" s="184"/>
      <c r="BR60" s="184"/>
      <c r="BS60" s="183"/>
      <c r="BT60" s="184"/>
      <c r="BU60" s="183"/>
      <c r="BV60" s="184"/>
      <c r="BW60" s="183"/>
      <c r="BX60" s="184"/>
      <c r="BY60" s="183"/>
      <c r="BZ60" s="184"/>
      <c r="CA60" s="183"/>
      <c r="CB60" s="184"/>
      <c r="CC60" s="183"/>
      <c r="CD60" s="184"/>
      <c r="CE60" s="183"/>
      <c r="CF60" s="184"/>
      <c r="CG60" s="183"/>
      <c r="CH60" s="184"/>
      <c r="CI60" s="183"/>
      <c r="CJ60" s="184"/>
      <c r="CK60" s="183"/>
      <c r="CL60" s="184"/>
      <c r="CM60" s="256"/>
    </row>
    <row r="61" spans="1:91" ht="10.5" customHeight="1" thickBot="1">
      <c r="A61" s="179" t="str">
        <f t="shared" si="0"/>
        <v/>
      </c>
      <c r="B61" s="358">
        <v>5.5E-2</v>
      </c>
      <c r="C61" s="187"/>
      <c r="D61" s="187"/>
      <c r="E61" s="189"/>
      <c r="F61" s="189"/>
      <c r="G61" s="189"/>
      <c r="H61" s="188"/>
      <c r="I61" s="336"/>
      <c r="J61" s="347"/>
      <c r="K61" s="323"/>
      <c r="L61" s="187"/>
      <c r="M61" s="187"/>
      <c r="N61" s="187"/>
      <c r="O61" s="187"/>
      <c r="P61" s="323"/>
      <c r="Q61" s="187"/>
      <c r="R61" s="187"/>
      <c r="S61" s="186"/>
      <c r="T61" s="183"/>
      <c r="U61" s="186"/>
      <c r="V61" s="215"/>
      <c r="W61" s="217">
        <f t="shared" si="14"/>
        <v>70.023148148148152</v>
      </c>
      <c r="X61" s="371">
        <f t="shared" si="18"/>
        <v>49.080584099513253</v>
      </c>
      <c r="Y61" s="369">
        <f t="shared" si="16"/>
        <v>44.814814814814824</v>
      </c>
      <c r="Z61" s="214">
        <f t="shared" si="20"/>
        <v>32.306870772516909</v>
      </c>
      <c r="AA61" s="362">
        <f t="shared" ref="AA61:AA94" si="21" xml:space="preserve"> 30*(B61/B$64)^2</f>
        <v>26.976813317479191</v>
      </c>
      <c r="AB61" s="221">
        <f t="shared" si="12"/>
        <v>19.625865051903109</v>
      </c>
      <c r="AC61" s="214">
        <f t="shared" si="13"/>
        <v>12.560553633217991</v>
      </c>
      <c r="AD61" s="352">
        <f t="shared" si="15"/>
        <v>11.989694807768529</v>
      </c>
      <c r="AE61" s="221">
        <f t="shared" si="17"/>
        <v>7.5</v>
      </c>
      <c r="AF61" s="373">
        <f t="shared" si="19"/>
        <v>5.3698224852071004</v>
      </c>
      <c r="AG61" s="271">
        <f t="shared" ref="AG61:AG108" si="22" xml:space="preserve"> 30*(B61/B$109)^2</f>
        <v>5.3698224852071004</v>
      </c>
      <c r="AH61" s="261"/>
      <c r="AI61" s="184"/>
      <c r="AJ61" s="184"/>
      <c r="AK61" s="183"/>
      <c r="AL61" s="184"/>
      <c r="AM61" s="184"/>
      <c r="AN61" s="183"/>
      <c r="AO61" s="184"/>
      <c r="AP61" s="184"/>
      <c r="AQ61" s="183"/>
      <c r="AR61" s="184"/>
      <c r="AS61" s="184"/>
      <c r="AT61" s="183"/>
      <c r="AU61" s="184"/>
      <c r="AV61" s="184"/>
      <c r="AW61" s="183"/>
      <c r="AX61" s="184"/>
      <c r="AY61" s="184"/>
      <c r="AZ61" s="183"/>
      <c r="BA61" s="184"/>
      <c r="BB61" s="183"/>
      <c r="BC61" s="184"/>
      <c r="BD61" s="184"/>
      <c r="BE61" s="183"/>
      <c r="BF61" s="184"/>
      <c r="BG61" s="184"/>
      <c r="BH61" s="183"/>
      <c r="BI61" s="184"/>
      <c r="BJ61" s="184"/>
      <c r="BK61" s="183"/>
      <c r="BL61" s="184"/>
      <c r="BM61" s="184"/>
      <c r="BN61" s="183"/>
      <c r="BO61" s="184"/>
      <c r="BP61" s="183"/>
      <c r="BQ61" s="184"/>
      <c r="BR61" s="184"/>
      <c r="BS61" s="183"/>
      <c r="BT61" s="184"/>
      <c r="BU61" s="183"/>
      <c r="BV61" s="184"/>
      <c r="BW61" s="183"/>
      <c r="BX61" s="184"/>
      <c r="BY61" s="183"/>
      <c r="BZ61" s="184"/>
      <c r="CA61" s="183"/>
      <c r="CB61" s="184"/>
      <c r="CC61" s="183"/>
      <c r="CD61" s="184"/>
      <c r="CE61" s="183"/>
      <c r="CF61" s="184"/>
      <c r="CG61" s="183"/>
      <c r="CH61" s="184"/>
      <c r="CI61" s="183"/>
      <c r="CJ61" s="184"/>
      <c r="CK61" s="183"/>
      <c r="CL61" s="184"/>
      <c r="CM61" s="256"/>
    </row>
    <row r="62" spans="1:91" ht="10.5" customHeight="1">
      <c r="A62" s="179" t="str">
        <f t="shared" si="0"/>
        <v/>
      </c>
      <c r="B62" s="360">
        <v>5.6000000000000001E-2</v>
      </c>
      <c r="C62" s="210"/>
      <c r="D62" s="210"/>
      <c r="E62" s="212"/>
      <c r="F62" s="212"/>
      <c r="G62" s="212"/>
      <c r="H62" s="211"/>
      <c r="I62" s="341"/>
      <c r="J62" s="346"/>
      <c r="K62" s="321"/>
      <c r="L62" s="210"/>
      <c r="M62" s="210"/>
      <c r="N62" s="210"/>
      <c r="O62" s="210"/>
      <c r="P62" s="321"/>
      <c r="Q62" s="210"/>
      <c r="R62" s="210"/>
      <c r="S62" s="209"/>
      <c r="T62" s="207"/>
      <c r="U62" s="209"/>
      <c r="V62" s="207"/>
      <c r="W62" s="239"/>
      <c r="X62" s="372">
        <f t="shared" si="18"/>
        <v>50.88155759870201</v>
      </c>
      <c r="Y62" s="368">
        <f t="shared" si="16"/>
        <v>46.459259259259262</v>
      </c>
      <c r="Z62" s="219">
        <f t="shared" si="20"/>
        <v>33.492346030615877</v>
      </c>
      <c r="AA62" s="363">
        <f t="shared" si="21"/>
        <v>27.9667063020214</v>
      </c>
      <c r="AB62" s="225">
        <f t="shared" si="12"/>
        <v>20.346020761245672</v>
      </c>
      <c r="AC62" s="219">
        <f t="shared" si="13"/>
        <v>13.021453287197232</v>
      </c>
      <c r="AD62" s="353">
        <f t="shared" si="15"/>
        <v>12.429647245342851</v>
      </c>
      <c r="AE62" s="225">
        <f t="shared" si="17"/>
        <v>7.7752066115702494</v>
      </c>
      <c r="AF62" s="375">
        <f t="shared" si="19"/>
        <v>5.5668639053254427</v>
      </c>
      <c r="AG62" s="203">
        <f t="shared" si="22"/>
        <v>5.5668639053254427</v>
      </c>
      <c r="AH62" s="268"/>
      <c r="AI62" s="206"/>
      <c r="AJ62" s="206"/>
      <c r="AK62" s="207"/>
      <c r="AL62" s="206"/>
      <c r="AM62" s="206"/>
      <c r="AN62" s="207"/>
      <c r="AO62" s="206"/>
      <c r="AP62" s="206"/>
      <c r="AQ62" s="207"/>
      <c r="AR62" s="206"/>
      <c r="AS62" s="206"/>
      <c r="AT62" s="207"/>
      <c r="AU62" s="206"/>
      <c r="AV62" s="206"/>
      <c r="AW62" s="207"/>
      <c r="AX62" s="206"/>
      <c r="AY62" s="206"/>
      <c r="AZ62" s="207"/>
      <c r="BA62" s="206"/>
      <c r="BB62" s="207"/>
      <c r="BC62" s="206"/>
      <c r="BD62" s="206"/>
      <c r="BE62" s="207"/>
      <c r="BF62" s="206"/>
      <c r="BG62" s="206"/>
      <c r="BH62" s="207"/>
      <c r="BI62" s="206"/>
      <c r="BJ62" s="206"/>
      <c r="BK62" s="207"/>
      <c r="BL62" s="206"/>
      <c r="BM62" s="206"/>
      <c r="BN62" s="207"/>
      <c r="BO62" s="206"/>
      <c r="BP62" s="207"/>
      <c r="BQ62" s="206"/>
      <c r="BR62" s="206"/>
      <c r="BS62" s="207"/>
      <c r="BT62" s="206"/>
      <c r="BU62" s="207"/>
      <c r="BV62" s="206"/>
      <c r="BW62" s="207"/>
      <c r="BX62" s="206"/>
      <c r="BY62" s="207"/>
      <c r="BZ62" s="206"/>
      <c r="CA62" s="207"/>
      <c r="CB62" s="206"/>
      <c r="CC62" s="207"/>
      <c r="CD62" s="206"/>
      <c r="CE62" s="207"/>
      <c r="CF62" s="206"/>
      <c r="CG62" s="207"/>
      <c r="CH62" s="206"/>
      <c r="CI62" s="207"/>
      <c r="CJ62" s="206"/>
      <c r="CK62" s="207"/>
      <c r="CL62" s="206"/>
      <c r="CM62" s="254"/>
    </row>
    <row r="63" spans="1:91" ht="10.5" customHeight="1" thickBot="1">
      <c r="A63" s="179" t="str">
        <f t="shared" si="0"/>
        <v/>
      </c>
      <c r="B63" s="359">
        <v>5.7000000000000002E-2</v>
      </c>
      <c r="C63" s="198"/>
      <c r="D63" s="198"/>
      <c r="E63" s="200"/>
      <c r="F63" s="200"/>
      <c r="G63" s="200"/>
      <c r="H63" s="199"/>
      <c r="I63" s="339"/>
      <c r="J63" s="349"/>
      <c r="K63" s="319"/>
      <c r="L63" s="198"/>
      <c r="M63" s="198"/>
      <c r="N63" s="198"/>
      <c r="O63" s="198"/>
      <c r="P63" s="319"/>
      <c r="Q63" s="198"/>
      <c r="R63" s="198"/>
      <c r="S63" s="197"/>
      <c r="T63" s="194"/>
      <c r="U63" s="197"/>
      <c r="V63" s="194"/>
      <c r="W63" s="224"/>
      <c r="X63" s="371">
        <f t="shared" si="18"/>
        <v>52.714981070849113</v>
      </c>
      <c r="Y63" s="367">
        <f t="shared" si="16"/>
        <v>48.13333333333334</v>
      </c>
      <c r="Z63" s="217">
        <f t="shared" si="20"/>
        <v>34.699181203275188</v>
      </c>
      <c r="AA63" s="362">
        <f t="shared" si="21"/>
        <v>28.974435196195003</v>
      </c>
      <c r="AB63" s="223">
        <f t="shared" si="12"/>
        <v>21.07915224913495</v>
      </c>
      <c r="AC63" s="217">
        <f t="shared" si="13"/>
        <v>13.490657439446364</v>
      </c>
      <c r="AD63" s="352">
        <f t="shared" si="15"/>
        <v>12.877526753864451</v>
      </c>
      <c r="AE63" s="223">
        <f t="shared" si="17"/>
        <v>8.0553719008264473</v>
      </c>
      <c r="AF63" s="374">
        <f t="shared" si="19"/>
        <v>5.7674556213017745</v>
      </c>
      <c r="AG63" s="192">
        <f t="shared" si="22"/>
        <v>5.7674556213017745</v>
      </c>
      <c r="AH63" s="263"/>
      <c r="AI63" s="195"/>
      <c r="AJ63" s="195"/>
      <c r="AK63" s="194"/>
      <c r="AL63" s="195"/>
      <c r="AM63" s="195"/>
      <c r="AN63" s="194"/>
      <c r="AO63" s="195"/>
      <c r="AP63" s="195"/>
      <c r="AQ63" s="194"/>
      <c r="AR63" s="195"/>
      <c r="AS63" s="195"/>
      <c r="AT63" s="194"/>
      <c r="AU63" s="195"/>
      <c r="AV63" s="195"/>
      <c r="AW63" s="194"/>
      <c r="AX63" s="195"/>
      <c r="AY63" s="195"/>
      <c r="AZ63" s="194"/>
      <c r="BA63" s="195"/>
      <c r="BB63" s="194"/>
      <c r="BC63" s="195"/>
      <c r="BD63" s="195"/>
      <c r="BE63" s="194"/>
      <c r="BF63" s="195"/>
      <c r="BG63" s="195"/>
      <c r="BH63" s="194"/>
      <c r="BI63" s="195"/>
      <c r="BJ63" s="195"/>
      <c r="BK63" s="194"/>
      <c r="BL63" s="195"/>
      <c r="BM63" s="195"/>
      <c r="BN63" s="194"/>
      <c r="BO63" s="195"/>
      <c r="BP63" s="194"/>
      <c r="BQ63" s="195"/>
      <c r="BR63" s="195"/>
      <c r="BS63" s="194"/>
      <c r="BT63" s="195"/>
      <c r="BU63" s="194"/>
      <c r="BV63" s="195"/>
      <c r="BW63" s="194"/>
      <c r="BX63" s="195"/>
      <c r="BY63" s="194"/>
      <c r="BZ63" s="195"/>
      <c r="CA63" s="194"/>
      <c r="CB63" s="195"/>
      <c r="CC63" s="194"/>
      <c r="CD63" s="195"/>
      <c r="CE63" s="194"/>
      <c r="CF63" s="195"/>
      <c r="CG63" s="194"/>
      <c r="CH63" s="195"/>
      <c r="CI63" s="194"/>
      <c r="CJ63" s="195"/>
      <c r="CK63" s="194"/>
      <c r="CL63" s="195"/>
      <c r="CM63" s="258"/>
    </row>
    <row r="64" spans="1:91" ht="10.5" customHeight="1">
      <c r="A64" s="179" t="str">
        <f t="shared" si="0"/>
        <v/>
      </c>
      <c r="B64" s="358">
        <v>5.8000000000000003E-2</v>
      </c>
      <c r="C64" s="187"/>
      <c r="D64" s="187"/>
      <c r="E64" s="189"/>
      <c r="F64" s="189"/>
      <c r="G64" s="189"/>
      <c r="H64" s="188"/>
      <c r="I64" s="336"/>
      <c r="J64" s="347"/>
      <c r="K64" s="323"/>
      <c r="L64" s="187"/>
      <c r="M64" s="187"/>
      <c r="N64" s="187"/>
      <c r="O64" s="187"/>
      <c r="P64" s="323"/>
      <c r="Q64" s="187"/>
      <c r="R64" s="187"/>
      <c r="S64" s="186"/>
      <c r="T64" s="183"/>
      <c r="U64" s="186"/>
      <c r="V64" s="183"/>
      <c r="W64" s="182"/>
      <c r="X64" s="372">
        <f t="shared" si="18"/>
        <v>54.580854515954584</v>
      </c>
      <c r="Y64" s="369">
        <f t="shared" si="16"/>
        <v>49.837037037037042</v>
      </c>
      <c r="Z64" s="214">
        <f t="shared" si="20"/>
        <v>35.927376290494834</v>
      </c>
      <c r="AA64" s="363">
        <f t="shared" si="21"/>
        <v>30</v>
      </c>
      <c r="AB64" s="221">
        <f t="shared" si="12"/>
        <v>21.825259515570934</v>
      </c>
      <c r="AC64" s="214">
        <f t="shared" si="13"/>
        <v>13.968166089965399</v>
      </c>
      <c r="AD64" s="353">
        <f t="shared" si="15"/>
        <v>13.333333333333336</v>
      </c>
      <c r="AE64" s="221">
        <f t="shared" si="17"/>
        <v>8.3404958677685972</v>
      </c>
      <c r="AF64" s="373">
        <f t="shared" si="19"/>
        <v>5.9715976331360947</v>
      </c>
      <c r="AG64" s="181">
        <f t="shared" si="22"/>
        <v>5.9715976331360947</v>
      </c>
      <c r="AH64" s="261"/>
      <c r="AI64" s="184"/>
      <c r="AJ64" s="184"/>
      <c r="AK64" s="183"/>
      <c r="AL64" s="184"/>
      <c r="AM64" s="184"/>
      <c r="AN64" s="183"/>
      <c r="AO64" s="184"/>
      <c r="AP64" s="184"/>
      <c r="AQ64" s="183"/>
      <c r="AR64" s="184"/>
      <c r="AS64" s="184"/>
      <c r="AT64" s="183"/>
      <c r="AU64" s="184"/>
      <c r="AV64" s="184"/>
      <c r="AW64" s="183"/>
      <c r="AX64" s="184"/>
      <c r="AY64" s="184"/>
      <c r="AZ64" s="183"/>
      <c r="BA64" s="184"/>
      <c r="BB64" s="183"/>
      <c r="BC64" s="184"/>
      <c r="BD64" s="184"/>
      <c r="BE64" s="183"/>
      <c r="BF64" s="184"/>
      <c r="BG64" s="184"/>
      <c r="BH64" s="183"/>
      <c r="BI64" s="184"/>
      <c r="BJ64" s="184"/>
      <c r="BK64" s="183"/>
      <c r="BL64" s="184"/>
      <c r="BM64" s="184"/>
      <c r="BN64" s="183"/>
      <c r="BO64" s="184"/>
      <c r="BP64" s="183"/>
      <c r="BQ64" s="184"/>
      <c r="BR64" s="184"/>
      <c r="BS64" s="183"/>
      <c r="BT64" s="184"/>
      <c r="BU64" s="183"/>
      <c r="BV64" s="184"/>
      <c r="BW64" s="183"/>
      <c r="BX64" s="184"/>
      <c r="BY64" s="183"/>
      <c r="BZ64" s="184"/>
      <c r="CA64" s="183"/>
      <c r="CB64" s="184"/>
      <c r="CC64" s="183"/>
      <c r="CD64" s="184"/>
      <c r="CE64" s="183"/>
      <c r="CF64" s="184"/>
      <c r="CG64" s="183"/>
      <c r="CH64" s="184"/>
      <c r="CI64" s="183"/>
      <c r="CJ64" s="184"/>
      <c r="CK64" s="183"/>
      <c r="CL64" s="184"/>
      <c r="CM64" s="256"/>
    </row>
    <row r="65" spans="1:91" ht="10.5" customHeight="1" thickBot="1">
      <c r="A65" s="179" t="str">
        <f t="shared" si="0"/>
        <v/>
      </c>
      <c r="B65" s="358">
        <v>5.8999999999999997E-2</v>
      </c>
      <c r="C65" s="187"/>
      <c r="D65" s="187"/>
      <c r="E65" s="189"/>
      <c r="F65" s="189"/>
      <c r="G65" s="189"/>
      <c r="H65" s="188"/>
      <c r="I65" s="336"/>
      <c r="J65" s="347"/>
      <c r="K65" s="323"/>
      <c r="L65" s="187"/>
      <c r="M65" s="187"/>
      <c r="N65" s="187"/>
      <c r="O65" s="187"/>
      <c r="P65" s="323"/>
      <c r="Q65" s="187"/>
      <c r="R65" s="187"/>
      <c r="S65" s="186"/>
      <c r="T65" s="183"/>
      <c r="U65" s="186"/>
      <c r="V65" s="183"/>
      <c r="W65" s="182"/>
      <c r="X65" s="371">
        <f t="shared" si="18"/>
        <v>56.479177934018388</v>
      </c>
      <c r="Y65" s="369">
        <f t="shared" si="16"/>
        <v>51.57037037037037</v>
      </c>
      <c r="Z65" s="214">
        <f t="shared" si="20"/>
        <v>37.17693129227483</v>
      </c>
      <c r="AA65" s="362">
        <f t="shared" si="21"/>
        <v>31.043400713436377</v>
      </c>
      <c r="AB65" s="221">
        <f t="shared" si="12"/>
        <v>22.584342560553626</v>
      </c>
      <c r="AC65" s="214">
        <f t="shared" si="13"/>
        <v>14.45397923875432</v>
      </c>
      <c r="AD65" s="352">
        <f t="shared" si="15"/>
        <v>13.797066983749506</v>
      </c>
      <c r="AE65" s="221">
        <f t="shared" si="17"/>
        <v>8.6305785123966938</v>
      </c>
      <c r="AF65" s="373">
        <f t="shared" si="19"/>
        <v>6.1792899408284008</v>
      </c>
      <c r="AG65" s="181">
        <f t="shared" si="22"/>
        <v>6.1792899408284008</v>
      </c>
      <c r="AH65" s="261"/>
      <c r="AI65" s="184"/>
      <c r="AJ65" s="184"/>
      <c r="AK65" s="183"/>
      <c r="AL65" s="184"/>
      <c r="AM65" s="184"/>
      <c r="AN65" s="183"/>
      <c r="AO65" s="184"/>
      <c r="AP65" s="184"/>
      <c r="AQ65" s="183"/>
      <c r="AR65" s="184"/>
      <c r="AS65" s="184"/>
      <c r="AT65" s="183"/>
      <c r="AU65" s="184"/>
      <c r="AV65" s="184"/>
      <c r="AW65" s="183"/>
      <c r="AX65" s="184"/>
      <c r="AY65" s="184"/>
      <c r="AZ65" s="183"/>
      <c r="BA65" s="184"/>
      <c r="BB65" s="183"/>
      <c r="BC65" s="184"/>
      <c r="BD65" s="184"/>
      <c r="BE65" s="183"/>
      <c r="BF65" s="184"/>
      <c r="BG65" s="184"/>
      <c r="BH65" s="183"/>
      <c r="BI65" s="184"/>
      <c r="BJ65" s="184"/>
      <c r="BK65" s="183"/>
      <c r="BL65" s="184"/>
      <c r="BM65" s="184"/>
      <c r="BN65" s="183"/>
      <c r="BO65" s="184"/>
      <c r="BP65" s="183"/>
      <c r="BQ65" s="184"/>
      <c r="BR65" s="184"/>
      <c r="BS65" s="183"/>
      <c r="BT65" s="184"/>
      <c r="BU65" s="183"/>
      <c r="BV65" s="184"/>
      <c r="BW65" s="183"/>
      <c r="BX65" s="184"/>
      <c r="BY65" s="183"/>
      <c r="BZ65" s="184"/>
      <c r="CA65" s="183"/>
      <c r="CB65" s="184"/>
      <c r="CC65" s="183"/>
      <c r="CD65" s="184"/>
      <c r="CE65" s="183"/>
      <c r="CF65" s="184"/>
      <c r="CG65" s="183"/>
      <c r="CH65" s="184"/>
      <c r="CI65" s="183"/>
      <c r="CJ65" s="184"/>
      <c r="CK65" s="183"/>
      <c r="CL65" s="184"/>
      <c r="CM65" s="256"/>
    </row>
    <row r="66" spans="1:91" ht="10.5" customHeight="1">
      <c r="A66" s="179" t="str">
        <f t="shared" si="0"/>
        <v/>
      </c>
      <c r="B66" s="360">
        <v>0.06</v>
      </c>
      <c r="C66" s="210"/>
      <c r="D66" s="210"/>
      <c r="E66" s="212"/>
      <c r="F66" s="212"/>
      <c r="G66" s="212"/>
      <c r="H66" s="211"/>
      <c r="I66" s="341"/>
      <c r="J66" s="346"/>
      <c r="K66" s="321"/>
      <c r="L66" s="210"/>
      <c r="M66" s="210"/>
      <c r="N66" s="210"/>
      <c r="O66" s="210"/>
      <c r="P66" s="321"/>
      <c r="Q66" s="328"/>
      <c r="R66" s="210"/>
      <c r="S66" s="209"/>
      <c r="T66" s="207"/>
      <c r="U66" s="209"/>
      <c r="V66" s="207"/>
      <c r="W66" s="226"/>
      <c r="X66" s="372">
        <f t="shared" si="18"/>
        <v>58.409951325040566</v>
      </c>
      <c r="Y66" s="368">
        <f t="shared" si="16"/>
        <v>53.333333333333329</v>
      </c>
      <c r="Z66" s="219">
        <f t="shared" si="20"/>
        <v>38.447846208615161</v>
      </c>
      <c r="AA66" s="363">
        <f t="shared" si="21"/>
        <v>32.104637336504155</v>
      </c>
      <c r="AB66" s="225">
        <f t="shared" si="12"/>
        <v>23.356401384083036</v>
      </c>
      <c r="AC66" s="219">
        <f t="shared" si="13"/>
        <v>14.948096885813147</v>
      </c>
      <c r="AD66" s="353">
        <f t="shared" si="15"/>
        <v>14.268727705112962</v>
      </c>
      <c r="AE66" s="225">
        <f t="shared" si="17"/>
        <v>8.9256198347107425</v>
      </c>
      <c r="AF66" s="345">
        <f t="shared" si="19"/>
        <v>6.3905325443786971</v>
      </c>
      <c r="AG66" s="203">
        <f t="shared" si="22"/>
        <v>6.3905325443786971</v>
      </c>
      <c r="AH66" s="268"/>
      <c r="AI66" s="206"/>
      <c r="AJ66" s="206"/>
      <c r="AK66" s="207"/>
      <c r="AL66" s="206"/>
      <c r="AM66" s="206"/>
      <c r="AN66" s="207"/>
      <c r="AO66" s="206"/>
      <c r="AP66" s="206"/>
      <c r="AQ66" s="207"/>
      <c r="AR66" s="206"/>
      <c r="AS66" s="206"/>
      <c r="AT66" s="207"/>
      <c r="AU66" s="206"/>
      <c r="AV66" s="206"/>
      <c r="AW66" s="207"/>
      <c r="AX66" s="206"/>
      <c r="AY66" s="206"/>
      <c r="AZ66" s="207"/>
      <c r="BA66" s="206"/>
      <c r="BB66" s="207"/>
      <c r="BC66" s="206"/>
      <c r="BD66" s="206"/>
      <c r="BE66" s="207"/>
      <c r="BF66" s="206"/>
      <c r="BG66" s="206"/>
      <c r="BH66" s="207"/>
      <c r="BI66" s="206"/>
      <c r="BJ66" s="206"/>
      <c r="BK66" s="207"/>
      <c r="BL66" s="206"/>
      <c r="BM66" s="206"/>
      <c r="BN66" s="207"/>
      <c r="BO66" s="206"/>
      <c r="BP66" s="207"/>
      <c r="BQ66" s="206"/>
      <c r="BR66" s="206"/>
      <c r="BS66" s="207"/>
      <c r="BT66" s="206"/>
      <c r="BU66" s="207"/>
      <c r="BV66" s="206"/>
      <c r="BW66" s="207"/>
      <c r="BX66" s="206"/>
      <c r="BY66" s="207"/>
      <c r="BZ66" s="206"/>
      <c r="CA66" s="207"/>
      <c r="CB66" s="206"/>
      <c r="CC66" s="207"/>
      <c r="CD66" s="206"/>
      <c r="CE66" s="207"/>
      <c r="CF66" s="206"/>
      <c r="CG66" s="207"/>
      <c r="CH66" s="206"/>
      <c r="CI66" s="207"/>
      <c r="CJ66" s="206"/>
      <c r="CK66" s="207"/>
      <c r="CL66" s="206"/>
      <c r="CM66" s="254"/>
    </row>
    <row r="67" spans="1:91" ht="10.5" customHeight="1" thickBot="1">
      <c r="A67" s="179" t="str">
        <f t="shared" si="0"/>
        <v/>
      </c>
      <c r="B67" s="359">
        <v>6.0999999999999999E-2</v>
      </c>
      <c r="C67" s="198"/>
      <c r="D67" s="198"/>
      <c r="E67" s="200"/>
      <c r="F67" s="200"/>
      <c r="G67" s="200"/>
      <c r="H67" s="199"/>
      <c r="I67" s="339"/>
      <c r="J67" s="349"/>
      <c r="K67" s="319"/>
      <c r="L67" s="198"/>
      <c r="M67" s="198"/>
      <c r="N67" s="198"/>
      <c r="O67" s="198"/>
      <c r="P67" s="198"/>
      <c r="Q67" s="325"/>
      <c r="R67" s="198"/>
      <c r="S67" s="197"/>
      <c r="T67" s="194"/>
      <c r="U67" s="197"/>
      <c r="V67" s="194"/>
      <c r="W67" s="224"/>
      <c r="X67" s="371">
        <f t="shared" si="18"/>
        <v>60.373174689021091</v>
      </c>
      <c r="Y67" s="367">
        <f t="shared" si="16"/>
        <v>55.125925925925927</v>
      </c>
      <c r="Z67" s="217">
        <f t="shared" si="20"/>
        <v>39.740121039515834</v>
      </c>
      <c r="AA67" s="362">
        <f t="shared" si="21"/>
        <v>33.183709869203327</v>
      </c>
      <c r="AB67" s="223">
        <f t="shared" si="12"/>
        <v>24.141435986159163</v>
      </c>
      <c r="AC67" s="217">
        <f t="shared" si="13"/>
        <v>15.450519031141862</v>
      </c>
      <c r="AD67" s="352">
        <f t="shared" si="15"/>
        <v>14.748315497423704</v>
      </c>
      <c r="AE67" s="223">
        <f t="shared" si="17"/>
        <v>9.225619834710745</v>
      </c>
      <c r="AF67" s="343">
        <f t="shared" si="19"/>
        <v>6.6053254437869819</v>
      </c>
      <c r="AG67" s="192">
        <f t="shared" si="22"/>
        <v>6.6053254437869819</v>
      </c>
      <c r="AH67" s="263"/>
      <c r="AI67" s="195"/>
      <c r="AJ67" s="195"/>
      <c r="AK67" s="194"/>
      <c r="AL67" s="195"/>
      <c r="AM67" s="195"/>
      <c r="AN67" s="194"/>
      <c r="AO67" s="195"/>
      <c r="AP67" s="195"/>
      <c r="AQ67" s="194"/>
      <c r="AR67" s="195"/>
      <c r="AS67" s="195"/>
      <c r="AT67" s="194"/>
      <c r="AU67" s="195"/>
      <c r="AV67" s="195"/>
      <c r="AW67" s="194"/>
      <c r="AX67" s="195"/>
      <c r="AY67" s="195"/>
      <c r="AZ67" s="194"/>
      <c r="BA67" s="195"/>
      <c r="BB67" s="194"/>
      <c r="BC67" s="195"/>
      <c r="BD67" s="195"/>
      <c r="BE67" s="194"/>
      <c r="BF67" s="195"/>
      <c r="BG67" s="195"/>
      <c r="BH67" s="194"/>
      <c r="BI67" s="195"/>
      <c r="BJ67" s="195"/>
      <c r="BK67" s="194"/>
      <c r="BL67" s="195"/>
      <c r="BM67" s="195"/>
      <c r="BN67" s="194"/>
      <c r="BO67" s="195"/>
      <c r="BP67" s="194"/>
      <c r="BQ67" s="195"/>
      <c r="BR67" s="195"/>
      <c r="BS67" s="194"/>
      <c r="BT67" s="195"/>
      <c r="BU67" s="194"/>
      <c r="BV67" s="195"/>
      <c r="BW67" s="194"/>
      <c r="BX67" s="195"/>
      <c r="BY67" s="194"/>
      <c r="BZ67" s="195"/>
      <c r="CA67" s="194"/>
      <c r="CB67" s="195"/>
      <c r="CC67" s="194"/>
      <c r="CD67" s="195"/>
      <c r="CE67" s="194"/>
      <c r="CF67" s="195"/>
      <c r="CG67" s="194"/>
      <c r="CH67" s="195"/>
      <c r="CI67" s="194"/>
      <c r="CJ67" s="195"/>
      <c r="CK67" s="194"/>
      <c r="CL67" s="195"/>
      <c r="CM67" s="258"/>
    </row>
    <row r="68" spans="1:91" ht="10.5" customHeight="1">
      <c r="A68" s="179" t="str">
        <f t="shared" si="0"/>
        <v/>
      </c>
      <c r="B68" s="358">
        <v>6.2E-2</v>
      </c>
      <c r="C68" s="187"/>
      <c r="D68" s="187"/>
      <c r="E68" s="189"/>
      <c r="F68" s="189"/>
      <c r="G68" s="189"/>
      <c r="H68" s="188"/>
      <c r="I68" s="336"/>
      <c r="J68" s="347"/>
      <c r="K68" s="323"/>
      <c r="L68" s="187"/>
      <c r="M68" s="187"/>
      <c r="N68" s="187"/>
      <c r="O68" s="187"/>
      <c r="P68" s="187"/>
      <c r="Q68" s="331"/>
      <c r="R68" s="187"/>
      <c r="S68" s="186"/>
      <c r="T68" s="183"/>
      <c r="U68" s="186"/>
      <c r="V68" s="183"/>
      <c r="W68" s="182"/>
      <c r="X68" s="372">
        <f t="shared" si="18"/>
        <v>62.368848025959991</v>
      </c>
      <c r="Y68" s="369">
        <f t="shared" si="16"/>
        <v>56.948148148148142</v>
      </c>
      <c r="Z68" s="214">
        <f t="shared" si="20"/>
        <v>41.053755784976858</v>
      </c>
      <c r="AA68" s="363">
        <f t="shared" si="21"/>
        <v>34.280618311533878</v>
      </c>
      <c r="AB68" s="221">
        <f t="shared" si="12"/>
        <v>24.939446366782004</v>
      </c>
      <c r="AC68" s="214">
        <f t="shared" si="13"/>
        <v>15.961245674740482</v>
      </c>
      <c r="AD68" s="353">
        <f t="shared" si="15"/>
        <v>15.235830360681728</v>
      </c>
      <c r="AE68" s="221">
        <f t="shared" si="17"/>
        <v>9.5305785123966942</v>
      </c>
      <c r="AF68" s="345">
        <f t="shared" si="19"/>
        <v>6.8236686390532535</v>
      </c>
      <c r="AG68" s="181">
        <f t="shared" si="22"/>
        <v>6.8236686390532535</v>
      </c>
      <c r="AH68" s="261"/>
      <c r="AI68" s="184"/>
      <c r="AJ68" s="184"/>
      <c r="AK68" s="183"/>
      <c r="AL68" s="184"/>
      <c r="AM68" s="184"/>
      <c r="AN68" s="183"/>
      <c r="AO68" s="184"/>
      <c r="AP68" s="184"/>
      <c r="AQ68" s="183"/>
      <c r="AR68" s="184"/>
      <c r="AS68" s="184"/>
      <c r="AT68" s="183"/>
      <c r="AU68" s="184"/>
      <c r="AV68" s="184"/>
      <c r="AW68" s="183"/>
      <c r="AX68" s="184"/>
      <c r="AY68" s="184"/>
      <c r="AZ68" s="183"/>
      <c r="BA68" s="184"/>
      <c r="BB68" s="183"/>
      <c r="BC68" s="184"/>
      <c r="BD68" s="184"/>
      <c r="BE68" s="183"/>
      <c r="BF68" s="184"/>
      <c r="BG68" s="184"/>
      <c r="BH68" s="183"/>
      <c r="BI68" s="184"/>
      <c r="BJ68" s="184"/>
      <c r="BK68" s="183"/>
      <c r="BL68" s="184"/>
      <c r="BM68" s="184"/>
      <c r="BN68" s="183"/>
      <c r="BO68" s="184"/>
      <c r="BP68" s="183"/>
      <c r="BQ68" s="184"/>
      <c r="BR68" s="184"/>
      <c r="BS68" s="183"/>
      <c r="BT68" s="184"/>
      <c r="BU68" s="183"/>
      <c r="BV68" s="184"/>
      <c r="BW68" s="183"/>
      <c r="BX68" s="184"/>
      <c r="BY68" s="183"/>
      <c r="BZ68" s="184"/>
      <c r="CA68" s="183"/>
      <c r="CB68" s="184"/>
      <c r="CC68" s="183"/>
      <c r="CD68" s="184"/>
      <c r="CE68" s="183"/>
      <c r="CF68" s="184"/>
      <c r="CG68" s="183"/>
      <c r="CH68" s="184"/>
      <c r="CI68" s="183"/>
      <c r="CJ68" s="184"/>
      <c r="CK68" s="183"/>
      <c r="CL68" s="184"/>
      <c r="CM68" s="256"/>
    </row>
    <row r="69" spans="1:91" ht="10.5" customHeight="1" thickBot="1">
      <c r="A69" s="179" t="str">
        <f t="shared" si="0"/>
        <v/>
      </c>
      <c r="B69" s="358">
        <v>6.3E-2</v>
      </c>
      <c r="C69" s="187"/>
      <c r="D69" s="187"/>
      <c r="E69" s="189"/>
      <c r="F69" s="189"/>
      <c r="G69" s="189"/>
      <c r="H69" s="188"/>
      <c r="I69" s="336"/>
      <c r="J69" s="347"/>
      <c r="K69" s="323"/>
      <c r="L69" s="187"/>
      <c r="M69" s="187"/>
      <c r="N69" s="187"/>
      <c r="O69" s="187"/>
      <c r="P69" s="187"/>
      <c r="Q69" s="331"/>
      <c r="R69" s="187"/>
      <c r="S69" s="186"/>
      <c r="T69" s="183"/>
      <c r="U69" s="186"/>
      <c r="V69" s="183"/>
      <c r="W69" s="182"/>
      <c r="X69" s="371">
        <f t="shared" si="18"/>
        <v>64.396971335857231</v>
      </c>
      <c r="Y69" s="369">
        <f t="shared" si="16"/>
        <v>58.800000000000011</v>
      </c>
      <c r="Z69" s="214">
        <f t="shared" si="20"/>
        <v>42.388750444998216</v>
      </c>
      <c r="AA69" s="362">
        <f t="shared" si="21"/>
        <v>35.395362663495838</v>
      </c>
      <c r="AB69" s="221">
        <f t="shared" si="12"/>
        <v>25.750432525951553</v>
      </c>
      <c r="AC69" s="214">
        <f t="shared" si="13"/>
        <v>16.480276816608992</v>
      </c>
      <c r="AD69" s="352">
        <f t="shared" si="15"/>
        <v>15.731272294887042</v>
      </c>
      <c r="AE69" s="221">
        <f t="shared" si="17"/>
        <v>9.8404958677685972</v>
      </c>
      <c r="AF69" s="343">
        <f t="shared" si="19"/>
        <v>7.0455621301775144</v>
      </c>
      <c r="AG69" s="181">
        <f t="shared" si="22"/>
        <v>7.0455621301775144</v>
      </c>
      <c r="AH69" s="261"/>
      <c r="AI69" s="184"/>
      <c r="AJ69" s="184"/>
      <c r="AK69" s="183"/>
      <c r="AL69" s="184"/>
      <c r="AM69" s="184"/>
      <c r="AN69" s="183"/>
      <c r="AO69" s="184"/>
      <c r="AP69" s="184"/>
      <c r="AQ69" s="183"/>
      <c r="AR69" s="184"/>
      <c r="AS69" s="184"/>
      <c r="AT69" s="183"/>
      <c r="AU69" s="184"/>
      <c r="AV69" s="184"/>
      <c r="AW69" s="183"/>
      <c r="AX69" s="184"/>
      <c r="AY69" s="184"/>
      <c r="AZ69" s="183"/>
      <c r="BA69" s="184"/>
      <c r="BB69" s="183"/>
      <c r="BC69" s="184"/>
      <c r="BD69" s="184"/>
      <c r="BE69" s="183"/>
      <c r="BF69" s="184"/>
      <c r="BG69" s="184"/>
      <c r="BH69" s="183"/>
      <c r="BI69" s="184"/>
      <c r="BJ69" s="184"/>
      <c r="BK69" s="183"/>
      <c r="BL69" s="184"/>
      <c r="BM69" s="184"/>
      <c r="BN69" s="183"/>
      <c r="BO69" s="184"/>
      <c r="BP69" s="183"/>
      <c r="BQ69" s="184"/>
      <c r="BR69" s="184"/>
      <c r="BS69" s="183"/>
      <c r="BT69" s="184"/>
      <c r="BU69" s="183"/>
      <c r="BV69" s="184"/>
      <c r="BW69" s="183"/>
      <c r="BX69" s="184"/>
      <c r="BY69" s="183"/>
      <c r="BZ69" s="184"/>
      <c r="CA69" s="183"/>
      <c r="CB69" s="184"/>
      <c r="CC69" s="183"/>
      <c r="CD69" s="184"/>
      <c r="CE69" s="183"/>
      <c r="CF69" s="184"/>
      <c r="CG69" s="183"/>
      <c r="CH69" s="184"/>
      <c r="CI69" s="183"/>
      <c r="CJ69" s="184"/>
      <c r="CK69" s="183"/>
      <c r="CL69" s="184"/>
      <c r="CM69" s="256"/>
    </row>
    <row r="70" spans="1:91" ht="10.5" customHeight="1">
      <c r="A70" s="179" t="str">
        <f t="shared" si="0"/>
        <v/>
      </c>
      <c r="B70" s="360">
        <v>6.4000000000000001E-2</v>
      </c>
      <c r="C70" s="210"/>
      <c r="D70" s="210"/>
      <c r="E70" s="212"/>
      <c r="F70" s="212"/>
      <c r="G70" s="212"/>
      <c r="H70" s="211"/>
      <c r="I70" s="341"/>
      <c r="J70" s="346"/>
      <c r="K70" s="321"/>
      <c r="L70" s="210"/>
      <c r="M70" s="210"/>
      <c r="N70" s="210"/>
      <c r="O70" s="210"/>
      <c r="P70" s="210"/>
      <c r="Q70" s="328"/>
      <c r="R70" s="210"/>
      <c r="S70" s="209"/>
      <c r="T70" s="207"/>
      <c r="U70" s="209"/>
      <c r="V70" s="207"/>
      <c r="W70" s="226"/>
      <c r="X70" s="372">
        <f t="shared" si="18"/>
        <v>66.457544618712831</v>
      </c>
      <c r="Y70" s="368">
        <f t="shared" si="16"/>
        <v>60.681481481481484</v>
      </c>
      <c r="Z70" s="219">
        <f t="shared" si="20"/>
        <v>43.745105019579917</v>
      </c>
      <c r="AA70" s="363">
        <f t="shared" si="21"/>
        <v>36.527942925089178</v>
      </c>
      <c r="AB70" s="225">
        <f t="shared" si="12"/>
        <v>26.574394463667822</v>
      </c>
      <c r="AC70" s="219">
        <f t="shared" si="13"/>
        <v>17.007612456747403</v>
      </c>
      <c r="AD70" s="353">
        <f t="shared" si="15"/>
        <v>16.234641300039641</v>
      </c>
      <c r="AE70" s="225">
        <f t="shared" si="17"/>
        <v>10.155371900826445</v>
      </c>
      <c r="AF70" s="345">
        <f t="shared" si="19"/>
        <v>7.2710059171597621</v>
      </c>
      <c r="AG70" s="219">
        <f t="shared" si="22"/>
        <v>7.2710059171597621</v>
      </c>
      <c r="AH70" s="240">
        <f t="shared" ref="AH70:AH110" si="23" xml:space="preserve"> 30*(B70/B$111)^2</f>
        <v>5.461333333333334</v>
      </c>
      <c r="AI70" s="283"/>
      <c r="AJ70" s="283"/>
      <c r="AK70" s="207"/>
      <c r="AL70" s="206"/>
      <c r="AM70" s="206"/>
      <c r="AN70" s="207"/>
      <c r="AO70" s="206"/>
      <c r="AP70" s="206"/>
      <c r="AQ70" s="207"/>
      <c r="AR70" s="206"/>
      <c r="AS70" s="206"/>
      <c r="AT70" s="207"/>
      <c r="AU70" s="206"/>
      <c r="AV70" s="206"/>
      <c r="AW70" s="207"/>
      <c r="AX70" s="206"/>
      <c r="AY70" s="206"/>
      <c r="AZ70" s="207"/>
      <c r="BA70" s="206"/>
      <c r="BB70" s="207"/>
      <c r="BC70" s="206"/>
      <c r="BD70" s="206"/>
      <c r="BE70" s="207"/>
      <c r="BF70" s="206"/>
      <c r="BG70" s="206"/>
      <c r="BH70" s="207"/>
      <c r="BI70" s="206"/>
      <c r="BJ70" s="206"/>
      <c r="BK70" s="207"/>
      <c r="BL70" s="206"/>
      <c r="BM70" s="206"/>
      <c r="BN70" s="207"/>
      <c r="BO70" s="206"/>
      <c r="BP70" s="207"/>
      <c r="BQ70" s="206"/>
      <c r="BR70" s="206"/>
      <c r="BS70" s="207"/>
      <c r="BT70" s="206"/>
      <c r="BU70" s="207"/>
      <c r="BV70" s="206"/>
      <c r="BW70" s="207"/>
      <c r="BX70" s="206"/>
      <c r="BY70" s="207"/>
      <c r="BZ70" s="206"/>
      <c r="CA70" s="207"/>
      <c r="CB70" s="206"/>
      <c r="CC70" s="207"/>
      <c r="CD70" s="206"/>
      <c r="CE70" s="207"/>
      <c r="CF70" s="206"/>
      <c r="CG70" s="207"/>
      <c r="CH70" s="206"/>
      <c r="CI70" s="207"/>
      <c r="CJ70" s="206"/>
      <c r="CK70" s="207"/>
      <c r="CL70" s="206"/>
      <c r="CM70" s="254"/>
    </row>
    <row r="71" spans="1:91" ht="10.5" customHeight="1" thickBot="1">
      <c r="A71" s="179" t="str">
        <f t="shared" si="0"/>
        <v/>
      </c>
      <c r="B71" s="359">
        <v>6.5000000000000002E-2</v>
      </c>
      <c r="C71" s="198"/>
      <c r="D71" s="198"/>
      <c r="E71" s="200"/>
      <c r="F71" s="200"/>
      <c r="G71" s="200"/>
      <c r="H71" s="199"/>
      <c r="I71" s="339"/>
      <c r="J71" s="349"/>
      <c r="K71" s="319"/>
      <c r="L71" s="198"/>
      <c r="M71" s="198"/>
      <c r="N71" s="198"/>
      <c r="O71" s="198"/>
      <c r="P71" s="198"/>
      <c r="Q71" s="325"/>
      <c r="R71" s="198"/>
      <c r="S71" s="197"/>
      <c r="T71" s="194"/>
      <c r="U71" s="197"/>
      <c r="V71" s="194"/>
      <c r="W71" s="224"/>
      <c r="X71" s="371">
        <f t="shared" si="18"/>
        <v>68.550567874526791</v>
      </c>
      <c r="Y71" s="367">
        <f t="shared" si="16"/>
        <v>62.592592592592602</v>
      </c>
      <c r="Z71" s="217">
        <f t="shared" si="20"/>
        <v>45.122819508721975</v>
      </c>
      <c r="AA71" s="362">
        <f t="shared" si="21"/>
        <v>37.678359096313905</v>
      </c>
      <c r="AB71" s="223">
        <f t="shared" si="12"/>
        <v>27.411332179930792</v>
      </c>
      <c r="AC71" s="217">
        <f t="shared" si="13"/>
        <v>17.543252595155707</v>
      </c>
      <c r="AD71" s="352">
        <f t="shared" si="15"/>
        <v>16.745937376139519</v>
      </c>
      <c r="AE71" s="223">
        <f t="shared" si="17"/>
        <v>10.47520661157025</v>
      </c>
      <c r="AF71" s="343">
        <f t="shared" si="19"/>
        <v>7.5</v>
      </c>
      <c r="AG71" s="217">
        <f t="shared" si="22"/>
        <v>7.5</v>
      </c>
      <c r="AH71" s="191">
        <f t="shared" si="23"/>
        <v>5.6333333333333337</v>
      </c>
      <c r="AI71" s="303"/>
      <c r="AJ71" s="303"/>
      <c r="AK71" s="194"/>
      <c r="AL71" s="195"/>
      <c r="AM71" s="195"/>
      <c r="AN71" s="194"/>
      <c r="AO71" s="195"/>
      <c r="AP71" s="195"/>
      <c r="AQ71" s="194"/>
      <c r="AR71" s="195"/>
      <c r="AS71" s="195"/>
      <c r="AT71" s="194"/>
      <c r="AU71" s="195"/>
      <c r="AV71" s="195"/>
      <c r="AW71" s="194"/>
      <c r="AX71" s="195"/>
      <c r="AY71" s="195"/>
      <c r="AZ71" s="194"/>
      <c r="BA71" s="195"/>
      <c r="BB71" s="194"/>
      <c r="BC71" s="195"/>
      <c r="BD71" s="195"/>
      <c r="BE71" s="194"/>
      <c r="BF71" s="195"/>
      <c r="BG71" s="195"/>
      <c r="BH71" s="194"/>
      <c r="BI71" s="195"/>
      <c r="BJ71" s="195"/>
      <c r="BK71" s="194"/>
      <c r="BL71" s="195"/>
      <c r="BM71" s="195"/>
      <c r="BN71" s="194"/>
      <c r="BO71" s="195"/>
      <c r="BP71" s="194"/>
      <c r="BQ71" s="195"/>
      <c r="BR71" s="195"/>
      <c r="BS71" s="194"/>
      <c r="BT71" s="195"/>
      <c r="BU71" s="194"/>
      <c r="BV71" s="195"/>
      <c r="BW71" s="194"/>
      <c r="BX71" s="195"/>
      <c r="BY71" s="194"/>
      <c r="BZ71" s="195"/>
      <c r="CA71" s="194"/>
      <c r="CB71" s="195"/>
      <c r="CC71" s="194"/>
      <c r="CD71" s="195"/>
      <c r="CE71" s="194"/>
      <c r="CF71" s="195"/>
      <c r="CG71" s="194"/>
      <c r="CH71" s="195"/>
      <c r="CI71" s="194"/>
      <c r="CJ71" s="195"/>
      <c r="CK71" s="194"/>
      <c r="CL71" s="195"/>
      <c r="CM71" s="258"/>
    </row>
    <row r="72" spans="1:91" ht="10.5" customHeight="1" thickBot="1">
      <c r="A72" s="179" t="str">
        <f t="shared" si="0"/>
        <v/>
      </c>
      <c r="B72" s="358">
        <v>6.6000000000000003E-2</v>
      </c>
      <c r="C72" s="187"/>
      <c r="D72" s="187"/>
      <c r="E72" s="189"/>
      <c r="F72" s="189"/>
      <c r="G72" s="189"/>
      <c r="H72" s="188"/>
      <c r="I72" s="336"/>
      <c r="J72" s="347"/>
      <c r="K72" s="323"/>
      <c r="L72" s="187"/>
      <c r="M72" s="187"/>
      <c r="N72" s="187"/>
      <c r="O72" s="187"/>
      <c r="P72" s="187"/>
      <c r="Q72" s="331"/>
      <c r="R72" s="187"/>
      <c r="S72" s="186"/>
      <c r="T72" s="183"/>
      <c r="U72" s="186"/>
      <c r="V72" s="183"/>
      <c r="W72" s="182"/>
      <c r="X72" s="370">
        <f t="shared" si="18"/>
        <v>70.676041103299113</v>
      </c>
      <c r="Y72" s="369">
        <f t="shared" si="16"/>
        <v>64.533333333333346</v>
      </c>
      <c r="Z72" s="214">
        <f t="shared" si="20"/>
        <v>46.52189391242436</v>
      </c>
      <c r="AA72" s="363">
        <f t="shared" si="21"/>
        <v>38.84661117717004</v>
      </c>
      <c r="AB72" s="221">
        <f t="shared" si="12"/>
        <v>28.261245674740483</v>
      </c>
      <c r="AC72" s="214">
        <f t="shared" si="13"/>
        <v>18.087197231833912</v>
      </c>
      <c r="AD72" s="353">
        <f t="shared" si="15"/>
        <v>17.265160523186687</v>
      </c>
      <c r="AE72" s="221">
        <f t="shared" si="17"/>
        <v>10.799999999999999</v>
      </c>
      <c r="AF72" s="345">
        <f t="shared" si="19"/>
        <v>7.7325443786982238</v>
      </c>
      <c r="AG72" s="214">
        <f t="shared" si="22"/>
        <v>7.7325443786982238</v>
      </c>
      <c r="AH72" s="180">
        <f t="shared" si="23"/>
        <v>5.8080000000000016</v>
      </c>
      <c r="AI72" s="284"/>
      <c r="AJ72" s="284"/>
      <c r="AK72" s="183"/>
      <c r="AL72" s="184"/>
      <c r="AM72" s="184"/>
      <c r="AN72" s="183"/>
      <c r="AO72" s="184"/>
      <c r="AP72" s="184"/>
      <c r="AQ72" s="183"/>
      <c r="AR72" s="184"/>
      <c r="AS72" s="184"/>
      <c r="AT72" s="183"/>
      <c r="AU72" s="184"/>
      <c r="AV72" s="184"/>
      <c r="AW72" s="183"/>
      <c r="AX72" s="184"/>
      <c r="AY72" s="184"/>
      <c r="AZ72" s="183"/>
      <c r="BA72" s="184"/>
      <c r="BB72" s="183"/>
      <c r="BC72" s="184"/>
      <c r="BD72" s="184"/>
      <c r="BE72" s="183"/>
      <c r="BF72" s="184"/>
      <c r="BG72" s="184"/>
      <c r="BH72" s="183"/>
      <c r="BI72" s="184"/>
      <c r="BJ72" s="184"/>
      <c r="BK72" s="183"/>
      <c r="BL72" s="184"/>
      <c r="BM72" s="184"/>
      <c r="BN72" s="183"/>
      <c r="BO72" s="184"/>
      <c r="BP72" s="183"/>
      <c r="BQ72" s="184"/>
      <c r="BR72" s="184"/>
      <c r="BS72" s="183"/>
      <c r="BT72" s="184"/>
      <c r="BU72" s="183"/>
      <c r="BV72" s="184"/>
      <c r="BW72" s="183"/>
      <c r="BX72" s="184"/>
      <c r="BY72" s="183"/>
      <c r="BZ72" s="184"/>
      <c r="CA72" s="183"/>
      <c r="CB72" s="184"/>
      <c r="CC72" s="183"/>
      <c r="CD72" s="184"/>
      <c r="CE72" s="183"/>
      <c r="CF72" s="184"/>
      <c r="CG72" s="183"/>
      <c r="CH72" s="184"/>
      <c r="CI72" s="183"/>
      <c r="CJ72" s="184"/>
      <c r="CK72" s="183"/>
      <c r="CL72" s="184"/>
      <c r="CM72" s="256"/>
    </row>
    <row r="73" spans="1:91" ht="10.5" customHeight="1" thickBot="1">
      <c r="A73" s="179" t="str">
        <f t="shared" si="0"/>
        <v/>
      </c>
      <c r="B73" s="358">
        <v>6.7000000000000004E-2</v>
      </c>
      <c r="C73" s="336"/>
      <c r="D73" s="347"/>
      <c r="E73" s="189"/>
      <c r="F73" s="189"/>
      <c r="G73" s="189"/>
      <c r="H73" s="188"/>
      <c r="I73" s="336"/>
      <c r="J73" s="347"/>
      <c r="K73" s="323"/>
      <c r="L73" s="187"/>
      <c r="M73" s="187"/>
      <c r="N73" s="187"/>
      <c r="O73" s="187"/>
      <c r="P73" s="187"/>
      <c r="Q73" s="331"/>
      <c r="R73" s="187"/>
      <c r="S73" s="186"/>
      <c r="T73" s="183"/>
      <c r="U73" s="186"/>
      <c r="V73" s="183"/>
      <c r="W73" s="182"/>
      <c r="X73" s="184"/>
      <c r="Y73" s="369">
        <f t="shared" si="16"/>
        <v>66.503703703703707</v>
      </c>
      <c r="Z73" s="214">
        <f t="shared" si="20"/>
        <v>47.942328230687096</v>
      </c>
      <c r="AA73" s="362">
        <f t="shared" si="21"/>
        <v>40.032699167657547</v>
      </c>
      <c r="AB73" s="221">
        <f t="shared" si="12"/>
        <v>29.124134948096884</v>
      </c>
      <c r="AC73" s="214">
        <f t="shared" si="13"/>
        <v>18.639446366782007</v>
      </c>
      <c r="AD73" s="352">
        <f t="shared" si="15"/>
        <v>17.792310741181137</v>
      </c>
      <c r="AE73" s="221">
        <f t="shared" si="17"/>
        <v>11.129752066115703</v>
      </c>
      <c r="AF73" s="343">
        <f t="shared" si="19"/>
        <v>7.9686390532544396</v>
      </c>
      <c r="AG73" s="214">
        <f t="shared" si="22"/>
        <v>7.9686390532544396</v>
      </c>
      <c r="AH73" s="180">
        <f t="shared" si="23"/>
        <v>5.9853333333333341</v>
      </c>
      <c r="AI73" s="257"/>
      <c r="AJ73" s="257"/>
      <c r="AK73" s="183"/>
      <c r="AL73" s="184"/>
      <c r="AM73" s="184"/>
      <c r="AN73" s="183"/>
      <c r="AO73" s="184"/>
      <c r="AP73" s="184"/>
      <c r="AQ73" s="183"/>
      <c r="AR73" s="184"/>
      <c r="AS73" s="184"/>
      <c r="AT73" s="183"/>
      <c r="AU73" s="184"/>
      <c r="AV73" s="184"/>
      <c r="AW73" s="183"/>
      <c r="AX73" s="184"/>
      <c r="AY73" s="184"/>
      <c r="AZ73" s="183"/>
      <c r="BA73" s="184"/>
      <c r="BB73" s="183"/>
      <c r="BC73" s="184"/>
      <c r="BD73" s="184"/>
      <c r="BE73" s="183"/>
      <c r="BF73" s="184"/>
      <c r="BG73" s="184"/>
      <c r="BH73" s="183"/>
      <c r="BI73" s="184"/>
      <c r="BJ73" s="184"/>
      <c r="BK73" s="183"/>
      <c r="BL73" s="184"/>
      <c r="BM73" s="184"/>
      <c r="BN73" s="183"/>
      <c r="BO73" s="184"/>
      <c r="BP73" s="183"/>
      <c r="BQ73" s="184"/>
      <c r="BR73" s="184"/>
      <c r="BS73" s="183"/>
      <c r="BT73" s="184"/>
      <c r="BU73" s="183"/>
      <c r="BV73" s="184"/>
      <c r="BW73" s="183"/>
      <c r="BX73" s="184"/>
      <c r="BY73" s="183"/>
      <c r="BZ73" s="184"/>
      <c r="CA73" s="183"/>
      <c r="CB73" s="184"/>
      <c r="CC73" s="183"/>
      <c r="CD73" s="184"/>
      <c r="CE73" s="183"/>
      <c r="CF73" s="184"/>
      <c r="CG73" s="183"/>
      <c r="CH73" s="184"/>
      <c r="CI73" s="183"/>
      <c r="CJ73" s="184"/>
      <c r="CK73" s="183"/>
      <c r="CL73" s="184"/>
      <c r="CM73" s="256"/>
    </row>
    <row r="74" spans="1:91" ht="10.5" customHeight="1">
      <c r="A74" s="179" t="str">
        <f t="shared" ref="A74:A137" si="24">IF(B74=$A$7,"this row","")</f>
        <v/>
      </c>
      <c r="B74" s="360">
        <v>6.8000000000000005E-2</v>
      </c>
      <c r="C74" s="341"/>
      <c r="D74" s="346"/>
      <c r="E74" s="212"/>
      <c r="F74" s="212"/>
      <c r="G74" s="212"/>
      <c r="H74" s="211"/>
      <c r="I74" s="341"/>
      <c r="J74" s="346"/>
      <c r="K74" s="321"/>
      <c r="L74" s="210"/>
      <c r="M74" s="210"/>
      <c r="N74" s="210"/>
      <c r="O74" s="210"/>
      <c r="P74" s="210"/>
      <c r="Q74" s="328"/>
      <c r="R74" s="210"/>
      <c r="S74" s="209"/>
      <c r="T74" s="207"/>
      <c r="U74" s="209"/>
      <c r="V74" s="207"/>
      <c r="W74" s="226"/>
      <c r="X74" s="206"/>
      <c r="Y74" s="368">
        <f t="shared" si="16"/>
        <v>68.503703703703721</v>
      </c>
      <c r="Z74" s="219">
        <f t="shared" si="20"/>
        <v>49.384122463510153</v>
      </c>
      <c r="AA74" s="363">
        <f t="shared" si="21"/>
        <v>41.23662306777647</v>
      </c>
      <c r="AB74" s="241">
        <v>30</v>
      </c>
      <c r="AC74" s="219">
        <f t="shared" ref="AC74:AC90" si="25" xml:space="preserve"> 30*(B74/B$91)^2</f>
        <v>19.200000000000003</v>
      </c>
      <c r="AD74" s="353">
        <f t="shared" si="15"/>
        <v>18.327388030122876</v>
      </c>
      <c r="AE74" s="225">
        <f t="shared" si="17"/>
        <v>11.464462809917359</v>
      </c>
      <c r="AF74" s="345">
        <f t="shared" si="19"/>
        <v>8.2082840236686394</v>
      </c>
      <c r="AG74" s="219">
        <f t="shared" si="22"/>
        <v>8.2082840236686394</v>
      </c>
      <c r="AH74" s="202">
        <f t="shared" si="23"/>
        <v>6.1653333333333347</v>
      </c>
      <c r="AI74" s="255"/>
      <c r="AJ74" s="255"/>
      <c r="AK74" s="207"/>
      <c r="AL74" s="206"/>
      <c r="AM74" s="206"/>
      <c r="AN74" s="207"/>
      <c r="AO74" s="206"/>
      <c r="AP74" s="206"/>
      <c r="AQ74" s="207"/>
      <c r="AR74" s="206"/>
      <c r="AS74" s="206"/>
      <c r="AT74" s="207"/>
      <c r="AU74" s="206"/>
      <c r="AV74" s="206"/>
      <c r="AW74" s="207"/>
      <c r="AX74" s="206"/>
      <c r="AY74" s="206"/>
      <c r="AZ74" s="207"/>
      <c r="BA74" s="206"/>
      <c r="BB74" s="207"/>
      <c r="BC74" s="206"/>
      <c r="BD74" s="206"/>
      <c r="BE74" s="207"/>
      <c r="BF74" s="206"/>
      <c r="BG74" s="206"/>
      <c r="BH74" s="207"/>
      <c r="BI74" s="206"/>
      <c r="BJ74" s="206"/>
      <c r="BK74" s="207"/>
      <c r="BL74" s="206"/>
      <c r="BM74" s="206"/>
      <c r="BN74" s="207"/>
      <c r="BO74" s="206"/>
      <c r="BP74" s="207"/>
      <c r="BQ74" s="206"/>
      <c r="BR74" s="206"/>
      <c r="BS74" s="207"/>
      <c r="BT74" s="206"/>
      <c r="BU74" s="207"/>
      <c r="BV74" s="206"/>
      <c r="BW74" s="207"/>
      <c r="BX74" s="206"/>
      <c r="BY74" s="207"/>
      <c r="BZ74" s="206"/>
      <c r="CA74" s="207"/>
      <c r="CB74" s="206"/>
      <c r="CC74" s="207"/>
      <c r="CD74" s="206"/>
      <c r="CE74" s="207"/>
      <c r="CF74" s="206"/>
      <c r="CG74" s="207"/>
      <c r="CH74" s="206"/>
      <c r="CI74" s="207"/>
      <c r="CJ74" s="206"/>
      <c r="CK74" s="207"/>
      <c r="CL74" s="206"/>
      <c r="CM74" s="254"/>
    </row>
    <row r="75" spans="1:91" ht="10.5" customHeight="1" thickBot="1">
      <c r="A75" s="179" t="str">
        <f t="shared" si="24"/>
        <v/>
      </c>
      <c r="B75" s="359">
        <v>6.9000000000000006E-2</v>
      </c>
      <c r="C75" s="339"/>
      <c r="D75" s="349"/>
      <c r="E75" s="200"/>
      <c r="F75" s="200"/>
      <c r="G75" s="200"/>
      <c r="H75" s="199"/>
      <c r="I75" s="339"/>
      <c r="J75" s="349"/>
      <c r="K75" s="319"/>
      <c r="L75" s="198"/>
      <c r="M75" s="198"/>
      <c r="N75" s="198"/>
      <c r="O75" s="198"/>
      <c r="P75" s="198"/>
      <c r="Q75" s="325"/>
      <c r="R75" s="198"/>
      <c r="S75" s="197"/>
      <c r="T75" s="194"/>
      <c r="U75" s="197"/>
      <c r="V75" s="194"/>
      <c r="W75" s="224"/>
      <c r="X75" s="195"/>
      <c r="Y75" s="367">
        <f t="shared" si="16"/>
        <v>70.533333333333346</v>
      </c>
      <c r="Z75" s="217">
        <f t="shared" si="20"/>
        <v>50.847276610893566</v>
      </c>
      <c r="AA75" s="362">
        <f t="shared" si="21"/>
        <v>42.458382877526759</v>
      </c>
      <c r="AB75" s="223">
        <f t="shared" ref="AB75:AB106" si="26" xml:space="preserve"> 30*(B75/B$74)^2</f>
        <v>30.888840830449823</v>
      </c>
      <c r="AC75" s="217">
        <f t="shared" si="25"/>
        <v>19.768858131487889</v>
      </c>
      <c r="AD75" s="352">
        <f t="shared" ref="AD75:AD110" si="27" xml:space="preserve"> 30*(B75/B$93)^2</f>
        <v>18.870392390011897</v>
      </c>
      <c r="AE75" s="223">
        <f t="shared" si="17"/>
        <v>11.80413223140496</v>
      </c>
      <c r="AF75" s="343">
        <f t="shared" si="19"/>
        <v>8.4514792899408295</v>
      </c>
      <c r="AG75" s="217">
        <f t="shared" si="22"/>
        <v>8.4514792899408295</v>
      </c>
      <c r="AH75" s="191">
        <f t="shared" si="23"/>
        <v>6.3480000000000016</v>
      </c>
      <c r="AI75" s="259"/>
      <c r="AJ75" s="259"/>
      <c r="AK75" s="194"/>
      <c r="AL75" s="195"/>
      <c r="AM75" s="195"/>
      <c r="AN75" s="194"/>
      <c r="AO75" s="195"/>
      <c r="AP75" s="195"/>
      <c r="AQ75" s="194"/>
      <c r="AR75" s="195"/>
      <c r="AS75" s="195"/>
      <c r="AT75" s="194"/>
      <c r="AU75" s="195"/>
      <c r="AV75" s="195"/>
      <c r="AW75" s="194"/>
      <c r="AX75" s="195"/>
      <c r="AY75" s="195"/>
      <c r="AZ75" s="194"/>
      <c r="BA75" s="195"/>
      <c r="BB75" s="194"/>
      <c r="BC75" s="195"/>
      <c r="BD75" s="195"/>
      <c r="BE75" s="194"/>
      <c r="BF75" s="195"/>
      <c r="BG75" s="195"/>
      <c r="BH75" s="194"/>
      <c r="BI75" s="195"/>
      <c r="BJ75" s="195"/>
      <c r="BK75" s="194"/>
      <c r="BL75" s="195"/>
      <c r="BM75" s="195"/>
      <c r="BN75" s="194"/>
      <c r="BO75" s="195"/>
      <c r="BP75" s="194"/>
      <c r="BQ75" s="195"/>
      <c r="BR75" s="195"/>
      <c r="BS75" s="194"/>
      <c r="BT75" s="195"/>
      <c r="BU75" s="194"/>
      <c r="BV75" s="195"/>
      <c r="BW75" s="194"/>
      <c r="BX75" s="195"/>
      <c r="BY75" s="194"/>
      <c r="BZ75" s="195"/>
      <c r="CA75" s="194"/>
      <c r="CB75" s="195"/>
      <c r="CC75" s="194"/>
      <c r="CD75" s="195"/>
      <c r="CE75" s="194"/>
      <c r="CF75" s="195"/>
      <c r="CG75" s="194"/>
      <c r="CH75" s="195"/>
      <c r="CI75" s="194"/>
      <c r="CJ75" s="195"/>
      <c r="CK75" s="194"/>
      <c r="CL75" s="195"/>
      <c r="CM75" s="258"/>
    </row>
    <row r="76" spans="1:91" ht="10.5" customHeight="1">
      <c r="A76" s="179" t="str">
        <f t="shared" si="24"/>
        <v/>
      </c>
      <c r="B76" s="358">
        <v>7.0000000000000007E-2</v>
      </c>
      <c r="C76" s="336"/>
      <c r="D76" s="347"/>
      <c r="E76" s="189"/>
      <c r="F76" s="189"/>
      <c r="G76" s="189"/>
      <c r="H76" s="188"/>
      <c r="I76" s="336"/>
      <c r="J76" s="347"/>
      <c r="K76" s="323"/>
      <c r="L76" s="187"/>
      <c r="M76" s="187"/>
      <c r="N76" s="187"/>
      <c r="O76" s="187"/>
      <c r="P76" s="187"/>
      <c r="Q76" s="331"/>
      <c r="R76" s="187"/>
      <c r="S76" s="186"/>
      <c r="T76" s="183"/>
      <c r="U76" s="186"/>
      <c r="V76" s="183"/>
      <c r="W76" s="182"/>
      <c r="X76" s="184"/>
      <c r="Y76" s="357"/>
      <c r="Z76" s="214">
        <f t="shared" si="20"/>
        <v>52.331790672837322</v>
      </c>
      <c r="AA76" s="363">
        <f t="shared" si="21"/>
        <v>43.697978596908435</v>
      </c>
      <c r="AB76" s="221">
        <f t="shared" si="26"/>
        <v>31.790657439446374</v>
      </c>
      <c r="AC76" s="214">
        <f t="shared" si="25"/>
        <v>20.346020761245676</v>
      </c>
      <c r="AD76" s="353">
        <f t="shared" si="27"/>
        <v>19.421323820848201</v>
      </c>
      <c r="AE76" s="221">
        <f t="shared" si="17"/>
        <v>12.148760330578517</v>
      </c>
      <c r="AF76" s="345">
        <f t="shared" si="19"/>
        <v>8.698224852071009</v>
      </c>
      <c r="AG76" s="214">
        <f t="shared" si="22"/>
        <v>8.698224852071009</v>
      </c>
      <c r="AH76" s="180">
        <f t="shared" si="23"/>
        <v>6.533333333333335</v>
      </c>
      <c r="AI76" s="257"/>
      <c r="AJ76" s="257"/>
      <c r="AK76" s="183"/>
      <c r="AL76" s="184"/>
      <c r="AM76" s="184"/>
      <c r="AN76" s="183"/>
      <c r="AO76" s="184"/>
      <c r="AP76" s="184"/>
      <c r="AQ76" s="183"/>
      <c r="AR76" s="184"/>
      <c r="AS76" s="184"/>
      <c r="AT76" s="183"/>
      <c r="AU76" s="184"/>
      <c r="AV76" s="184"/>
      <c r="AW76" s="183"/>
      <c r="AX76" s="184"/>
      <c r="AY76" s="184"/>
      <c r="AZ76" s="183"/>
      <c r="BA76" s="184"/>
      <c r="BB76" s="183"/>
      <c r="BC76" s="184"/>
      <c r="BD76" s="184"/>
      <c r="BE76" s="183"/>
      <c r="BF76" s="184"/>
      <c r="BG76" s="184"/>
      <c r="BH76" s="183"/>
      <c r="BI76" s="184"/>
      <c r="BJ76" s="184"/>
      <c r="BK76" s="183"/>
      <c r="BL76" s="184"/>
      <c r="BM76" s="184"/>
      <c r="BN76" s="183"/>
      <c r="BO76" s="184"/>
      <c r="BP76" s="183"/>
      <c r="BQ76" s="184"/>
      <c r="BR76" s="184"/>
      <c r="BS76" s="183"/>
      <c r="BT76" s="184"/>
      <c r="BU76" s="183"/>
      <c r="BV76" s="184"/>
      <c r="BW76" s="183"/>
      <c r="BX76" s="184"/>
      <c r="BY76" s="183"/>
      <c r="BZ76" s="184"/>
      <c r="CA76" s="183"/>
      <c r="CB76" s="184"/>
      <c r="CC76" s="183"/>
      <c r="CD76" s="184"/>
      <c r="CE76" s="183"/>
      <c r="CF76" s="184"/>
      <c r="CG76" s="183"/>
      <c r="CH76" s="184"/>
      <c r="CI76" s="183"/>
      <c r="CJ76" s="184"/>
      <c r="CK76" s="183"/>
      <c r="CL76" s="184"/>
      <c r="CM76" s="256"/>
    </row>
    <row r="77" spans="1:91" ht="10.5" customHeight="1" thickBot="1">
      <c r="A77" s="179" t="str">
        <f t="shared" si="24"/>
        <v/>
      </c>
      <c r="B77" s="358">
        <v>7.0999999999999994E-2</v>
      </c>
      <c r="C77" s="336"/>
      <c r="D77" s="347"/>
      <c r="E77" s="189"/>
      <c r="F77" s="189"/>
      <c r="G77" s="189"/>
      <c r="H77" s="188"/>
      <c r="I77" s="336"/>
      <c r="J77" s="347"/>
      <c r="K77" s="323"/>
      <c r="L77" s="187"/>
      <c r="M77" s="187"/>
      <c r="N77" s="187"/>
      <c r="O77" s="187"/>
      <c r="P77" s="187"/>
      <c r="Q77" s="331"/>
      <c r="R77" s="187"/>
      <c r="S77" s="186"/>
      <c r="T77" s="183"/>
      <c r="U77" s="186"/>
      <c r="V77" s="183"/>
      <c r="W77" s="182"/>
      <c r="X77" s="184"/>
      <c r="Y77" s="357"/>
      <c r="Z77" s="214">
        <f t="shared" si="20"/>
        <v>53.837664649341399</v>
      </c>
      <c r="AA77" s="362">
        <f t="shared" si="21"/>
        <v>44.955410225921518</v>
      </c>
      <c r="AB77" s="221">
        <f t="shared" si="26"/>
        <v>32.705449826989614</v>
      </c>
      <c r="AC77" s="214">
        <f t="shared" si="25"/>
        <v>20.931487889273352</v>
      </c>
      <c r="AD77" s="352">
        <f t="shared" si="27"/>
        <v>19.980182322631787</v>
      </c>
      <c r="AE77" s="221">
        <f t="shared" si="17"/>
        <v>12.498347107438015</v>
      </c>
      <c r="AF77" s="343">
        <f t="shared" si="19"/>
        <v>8.948520710059169</v>
      </c>
      <c r="AG77" s="214">
        <f t="shared" si="22"/>
        <v>8.948520710059169</v>
      </c>
      <c r="AH77" s="180">
        <f t="shared" si="23"/>
        <v>6.7213333333333329</v>
      </c>
      <c r="AI77" s="257"/>
      <c r="AJ77" s="257"/>
      <c r="AK77" s="183"/>
      <c r="AL77" s="184"/>
      <c r="AM77" s="184"/>
      <c r="AN77" s="183"/>
      <c r="AO77" s="184"/>
      <c r="AP77" s="184"/>
      <c r="AQ77" s="183"/>
      <c r="AR77" s="184"/>
      <c r="AS77" s="184"/>
      <c r="AT77" s="183"/>
      <c r="AU77" s="184"/>
      <c r="AV77" s="184"/>
      <c r="AW77" s="183"/>
      <c r="AX77" s="184"/>
      <c r="AY77" s="184"/>
      <c r="AZ77" s="183"/>
      <c r="BA77" s="184"/>
      <c r="BB77" s="183"/>
      <c r="BC77" s="184"/>
      <c r="BD77" s="184"/>
      <c r="BE77" s="183"/>
      <c r="BF77" s="184"/>
      <c r="BG77" s="184"/>
      <c r="BH77" s="183"/>
      <c r="BI77" s="184"/>
      <c r="BJ77" s="184"/>
      <c r="BK77" s="183"/>
      <c r="BL77" s="184"/>
      <c r="BM77" s="184"/>
      <c r="BN77" s="183"/>
      <c r="BO77" s="184"/>
      <c r="BP77" s="183"/>
      <c r="BQ77" s="184"/>
      <c r="BR77" s="184"/>
      <c r="BS77" s="183"/>
      <c r="BT77" s="184"/>
      <c r="BU77" s="183"/>
      <c r="BV77" s="184"/>
      <c r="BW77" s="183"/>
      <c r="BX77" s="184"/>
      <c r="BY77" s="183"/>
      <c r="BZ77" s="184"/>
      <c r="CA77" s="183"/>
      <c r="CB77" s="184"/>
      <c r="CC77" s="183"/>
      <c r="CD77" s="184"/>
      <c r="CE77" s="183"/>
      <c r="CF77" s="184"/>
      <c r="CG77" s="183"/>
      <c r="CH77" s="184"/>
      <c r="CI77" s="183"/>
      <c r="CJ77" s="184"/>
      <c r="CK77" s="183"/>
      <c r="CL77" s="184"/>
      <c r="CM77" s="256"/>
    </row>
    <row r="78" spans="1:91" ht="10.5" customHeight="1">
      <c r="A78" s="179" t="str">
        <f t="shared" si="24"/>
        <v/>
      </c>
      <c r="B78" s="360">
        <v>7.1999999999999995E-2</v>
      </c>
      <c r="C78" s="341"/>
      <c r="D78" s="346"/>
      <c r="E78" s="212"/>
      <c r="F78" s="212"/>
      <c r="G78" s="212"/>
      <c r="H78" s="211"/>
      <c r="I78" s="341"/>
      <c r="J78" s="346"/>
      <c r="K78" s="321"/>
      <c r="L78" s="210"/>
      <c r="M78" s="210"/>
      <c r="N78" s="210"/>
      <c r="O78" s="210"/>
      <c r="P78" s="210"/>
      <c r="Q78" s="328"/>
      <c r="R78" s="210"/>
      <c r="S78" s="209"/>
      <c r="T78" s="207"/>
      <c r="U78" s="209"/>
      <c r="V78" s="207"/>
      <c r="W78" s="226"/>
      <c r="X78" s="206"/>
      <c r="Y78" s="365"/>
      <c r="Z78" s="219">
        <f t="shared" si="20"/>
        <v>55.364898540405832</v>
      </c>
      <c r="AA78" s="363">
        <f t="shared" si="21"/>
        <v>46.230677764565982</v>
      </c>
      <c r="AB78" s="225">
        <f t="shared" si="26"/>
        <v>33.633217993079576</v>
      </c>
      <c r="AC78" s="219">
        <f t="shared" si="25"/>
        <v>21.525259515570927</v>
      </c>
      <c r="AD78" s="353">
        <f t="shared" si="27"/>
        <v>20.546967895362663</v>
      </c>
      <c r="AE78" s="225">
        <f t="shared" si="17"/>
        <v>12.852892561983472</v>
      </c>
      <c r="AF78" s="345">
        <f t="shared" si="19"/>
        <v>9.2023668639053238</v>
      </c>
      <c r="AG78" s="219">
        <f t="shared" si="22"/>
        <v>9.2023668639053238</v>
      </c>
      <c r="AH78" s="202">
        <f t="shared" si="23"/>
        <v>6.9119999999999999</v>
      </c>
      <c r="AI78" s="366">
        <f t="shared" ref="AI78:AI123" si="28" xml:space="preserve"> 30*(B78/B$113)^2</f>
        <v>5.3813148788927316</v>
      </c>
      <c r="AJ78" s="255"/>
      <c r="AK78" s="207"/>
      <c r="AL78" s="206"/>
      <c r="AM78" s="206"/>
      <c r="AN78" s="207"/>
      <c r="AO78" s="206"/>
      <c r="AP78" s="206"/>
      <c r="AQ78" s="207"/>
      <c r="AR78" s="206"/>
      <c r="AS78" s="206"/>
      <c r="AT78" s="207"/>
      <c r="AU78" s="206"/>
      <c r="AV78" s="206"/>
      <c r="AW78" s="207"/>
      <c r="AX78" s="206"/>
      <c r="AY78" s="206"/>
      <c r="AZ78" s="207"/>
      <c r="BA78" s="206"/>
      <c r="BB78" s="207"/>
      <c r="BC78" s="206"/>
      <c r="BD78" s="206"/>
      <c r="BE78" s="207"/>
      <c r="BF78" s="206"/>
      <c r="BG78" s="206"/>
      <c r="BH78" s="207"/>
      <c r="BI78" s="206"/>
      <c r="BJ78" s="206"/>
      <c r="BK78" s="207"/>
      <c r="BL78" s="206"/>
      <c r="BM78" s="206"/>
      <c r="BN78" s="207"/>
      <c r="BO78" s="206"/>
      <c r="BP78" s="207"/>
      <c r="BQ78" s="206"/>
      <c r="BR78" s="206"/>
      <c r="BS78" s="207"/>
      <c r="BT78" s="206"/>
      <c r="BU78" s="207"/>
      <c r="BV78" s="206"/>
      <c r="BW78" s="207"/>
      <c r="BX78" s="206"/>
      <c r="BY78" s="207"/>
      <c r="BZ78" s="206"/>
      <c r="CA78" s="207"/>
      <c r="CB78" s="206"/>
      <c r="CC78" s="207"/>
      <c r="CD78" s="206"/>
      <c r="CE78" s="207"/>
      <c r="CF78" s="206"/>
      <c r="CG78" s="207"/>
      <c r="CH78" s="206"/>
      <c r="CI78" s="207"/>
      <c r="CJ78" s="206"/>
      <c r="CK78" s="207"/>
      <c r="CL78" s="206"/>
      <c r="CM78" s="254"/>
    </row>
    <row r="79" spans="1:91" ht="10.5" customHeight="1" thickBot="1">
      <c r="A79" s="179" t="str">
        <f t="shared" si="24"/>
        <v/>
      </c>
      <c r="B79" s="359">
        <v>7.2999999999999995E-2</v>
      </c>
      <c r="C79" s="339"/>
      <c r="D79" s="349"/>
      <c r="E79" s="200"/>
      <c r="F79" s="200"/>
      <c r="G79" s="200"/>
      <c r="H79" s="199"/>
      <c r="I79" s="339"/>
      <c r="J79" s="349"/>
      <c r="K79" s="319"/>
      <c r="L79" s="198"/>
      <c r="M79" s="198"/>
      <c r="N79" s="198"/>
      <c r="O79" s="198"/>
      <c r="P79" s="198"/>
      <c r="Q79" s="325"/>
      <c r="R79" s="198"/>
      <c r="S79" s="197"/>
      <c r="T79" s="194"/>
      <c r="U79" s="197"/>
      <c r="V79" s="194"/>
      <c r="W79" s="224"/>
      <c r="X79" s="195"/>
      <c r="Y79" s="364"/>
      <c r="Z79" s="217">
        <f t="shared" si="20"/>
        <v>56.913492346030608</v>
      </c>
      <c r="AA79" s="362">
        <f t="shared" si="21"/>
        <v>47.523781212841854</v>
      </c>
      <c r="AB79" s="223">
        <f t="shared" si="26"/>
        <v>34.573961937716255</v>
      </c>
      <c r="AC79" s="217">
        <f t="shared" si="25"/>
        <v>22.127335640138401</v>
      </c>
      <c r="AD79" s="352">
        <f t="shared" si="27"/>
        <v>21.121680539040824</v>
      </c>
      <c r="AE79" s="223">
        <f t="shared" si="17"/>
        <v>13.212396694214874</v>
      </c>
      <c r="AF79" s="343">
        <f t="shared" si="19"/>
        <v>9.4597633136094643</v>
      </c>
      <c r="AG79" s="217">
        <f t="shared" si="22"/>
        <v>9.4597633136094643</v>
      </c>
      <c r="AH79" s="191">
        <f t="shared" si="23"/>
        <v>7.1053333333333324</v>
      </c>
      <c r="AI79" s="337">
        <f t="shared" si="28"/>
        <v>5.5318339100346003</v>
      </c>
      <c r="AJ79" s="259"/>
      <c r="AK79" s="194"/>
      <c r="AL79" s="278" t="s">
        <v>3553</v>
      </c>
      <c r="AM79" s="195"/>
      <c r="AN79" s="194"/>
      <c r="AO79" s="195"/>
      <c r="AP79" s="195"/>
      <c r="AQ79" s="194"/>
      <c r="AR79" s="195"/>
      <c r="AS79" s="195"/>
      <c r="AT79" s="194"/>
      <c r="AU79" s="195"/>
      <c r="AV79" s="195"/>
      <c r="AW79" s="194"/>
      <c r="AX79" s="195"/>
      <c r="AY79" s="195"/>
      <c r="AZ79" s="194"/>
      <c r="BA79" s="195"/>
      <c r="BB79" s="194"/>
      <c r="BC79" s="195"/>
      <c r="BD79" s="195"/>
      <c r="BE79" s="194"/>
      <c r="BF79" s="195"/>
      <c r="BG79" s="195"/>
      <c r="BH79" s="194"/>
      <c r="BI79" s="195"/>
      <c r="BJ79" s="195"/>
      <c r="BK79" s="194"/>
      <c r="BL79" s="195"/>
      <c r="BM79" s="195"/>
      <c r="BN79" s="194"/>
      <c r="BO79" s="195"/>
      <c r="BP79" s="194"/>
      <c r="BQ79" s="195"/>
      <c r="BR79" s="195"/>
      <c r="BS79" s="194"/>
      <c r="BT79" s="195"/>
      <c r="BU79" s="194"/>
      <c r="BV79" s="195"/>
      <c r="BW79" s="194"/>
      <c r="BX79" s="195"/>
      <c r="BY79" s="194"/>
      <c r="BZ79" s="195"/>
      <c r="CA79" s="194"/>
      <c r="CB79" s="195"/>
      <c r="CC79" s="194"/>
      <c r="CD79" s="195"/>
      <c r="CE79" s="194"/>
      <c r="CF79" s="195"/>
      <c r="CG79" s="194"/>
      <c r="CH79" s="195"/>
      <c r="CI79" s="194"/>
      <c r="CJ79" s="195"/>
      <c r="CK79" s="194"/>
      <c r="CL79" s="195"/>
      <c r="CM79" s="258"/>
    </row>
    <row r="80" spans="1:91" ht="10.5" customHeight="1">
      <c r="A80" s="179" t="str">
        <f t="shared" si="24"/>
        <v/>
      </c>
      <c r="B80" s="358">
        <v>7.3999999999999996E-2</v>
      </c>
      <c r="C80" s="336"/>
      <c r="D80" s="347"/>
      <c r="E80" s="189"/>
      <c r="F80" s="189"/>
      <c r="G80" s="189"/>
      <c r="H80" s="188"/>
      <c r="I80" s="336"/>
      <c r="J80" s="347"/>
      <c r="K80" s="323"/>
      <c r="L80" s="187"/>
      <c r="M80" s="187"/>
      <c r="N80" s="187"/>
      <c r="O80" s="187"/>
      <c r="P80" s="187"/>
      <c r="Q80" s="331"/>
      <c r="R80" s="187"/>
      <c r="S80" s="186"/>
      <c r="T80" s="183"/>
      <c r="U80" s="186"/>
      <c r="V80" s="183"/>
      <c r="W80" s="182"/>
      <c r="X80" s="184"/>
      <c r="Y80" s="357"/>
      <c r="Z80" s="214">
        <f t="shared" si="20"/>
        <v>58.483446066215727</v>
      </c>
      <c r="AA80" s="363">
        <f t="shared" si="21"/>
        <v>48.834720570749099</v>
      </c>
      <c r="AB80" s="221">
        <f t="shared" si="26"/>
        <v>35.527681660899653</v>
      </c>
      <c r="AC80" s="214">
        <f t="shared" si="25"/>
        <v>22.737716262975773</v>
      </c>
      <c r="AD80" s="353">
        <f t="shared" si="27"/>
        <v>21.704320253666275</v>
      </c>
      <c r="AE80" s="221">
        <f t="shared" si="17"/>
        <v>13.576859504132232</v>
      </c>
      <c r="AF80" s="345">
        <f t="shared" si="19"/>
        <v>9.7207100591715978</v>
      </c>
      <c r="AG80" s="214">
        <f t="shared" si="22"/>
        <v>9.7207100591715978</v>
      </c>
      <c r="AH80" s="180">
        <f t="shared" si="23"/>
        <v>7.3013333333333339</v>
      </c>
      <c r="AI80" s="334">
        <f t="shared" si="28"/>
        <v>5.6844290657439434</v>
      </c>
      <c r="AJ80" s="257"/>
      <c r="AK80" s="183"/>
      <c r="AL80" s="184"/>
      <c r="AM80" s="184"/>
      <c r="AN80" s="183"/>
      <c r="AO80" s="184"/>
      <c r="AP80" s="184"/>
      <c r="AQ80" s="183"/>
      <c r="AR80" s="184"/>
      <c r="AS80" s="184"/>
      <c r="AT80" s="183"/>
      <c r="AU80" s="184"/>
      <c r="AV80" s="184"/>
      <c r="AW80" s="183"/>
      <c r="AX80" s="184"/>
      <c r="AY80" s="184"/>
      <c r="AZ80" s="183"/>
      <c r="BA80" s="184"/>
      <c r="BB80" s="183"/>
      <c r="BC80" s="184"/>
      <c r="BD80" s="184"/>
      <c r="BE80" s="183"/>
      <c r="BF80" s="184"/>
      <c r="BG80" s="184"/>
      <c r="BH80" s="183"/>
      <c r="BI80" s="184"/>
      <c r="BJ80" s="184"/>
      <c r="BK80" s="183"/>
      <c r="BL80" s="184"/>
      <c r="BM80" s="184"/>
      <c r="BN80" s="183"/>
      <c r="BO80" s="184"/>
      <c r="BP80" s="183"/>
      <c r="BQ80" s="184"/>
      <c r="BR80" s="184"/>
      <c r="BS80" s="183"/>
      <c r="BT80" s="184"/>
      <c r="BU80" s="183"/>
      <c r="BV80" s="184"/>
      <c r="BW80" s="183"/>
      <c r="BX80" s="184"/>
      <c r="BY80" s="183"/>
      <c r="BZ80" s="184"/>
      <c r="CA80" s="183"/>
      <c r="CB80" s="184"/>
      <c r="CC80" s="183"/>
      <c r="CD80" s="184"/>
      <c r="CE80" s="183"/>
      <c r="CF80" s="184"/>
      <c r="CG80" s="183"/>
      <c r="CH80" s="184"/>
      <c r="CI80" s="183"/>
      <c r="CJ80" s="184"/>
      <c r="CK80" s="183"/>
      <c r="CL80" s="184"/>
      <c r="CM80" s="256"/>
    </row>
    <row r="81" spans="1:91" ht="10.5" customHeight="1" thickBot="1">
      <c r="A81" s="179" t="str">
        <f t="shared" si="24"/>
        <v/>
      </c>
      <c r="B81" s="358">
        <v>7.4999999999999997E-2</v>
      </c>
      <c r="C81" s="336"/>
      <c r="D81" s="347"/>
      <c r="E81" s="189"/>
      <c r="F81" s="189"/>
      <c r="G81" s="189"/>
      <c r="H81" s="188"/>
      <c r="I81" s="336"/>
      <c r="J81" s="347"/>
      <c r="K81" s="323"/>
      <c r="L81" s="187"/>
      <c r="M81" s="187"/>
      <c r="N81" s="187"/>
      <c r="O81" s="187"/>
      <c r="P81" s="187"/>
      <c r="Q81" s="331"/>
      <c r="R81" s="187"/>
      <c r="S81" s="186"/>
      <c r="T81" s="183"/>
      <c r="U81" s="186"/>
      <c r="V81" s="183"/>
      <c r="W81" s="182"/>
      <c r="X81" s="184"/>
      <c r="Y81" s="357"/>
      <c r="Z81" s="214">
        <f t="shared" si="20"/>
        <v>60.074759700961181</v>
      </c>
      <c r="AA81" s="362">
        <f t="shared" si="21"/>
        <v>50.163495838287737</v>
      </c>
      <c r="AB81" s="221">
        <f t="shared" si="26"/>
        <v>36.494377162629746</v>
      </c>
      <c r="AC81" s="214">
        <f t="shared" si="25"/>
        <v>23.356401384083036</v>
      </c>
      <c r="AD81" s="352">
        <f t="shared" si="27"/>
        <v>22.294887039239004</v>
      </c>
      <c r="AE81" s="221">
        <f t="shared" si="17"/>
        <v>13.946280991735536</v>
      </c>
      <c r="AF81" s="343">
        <f t="shared" si="19"/>
        <v>9.9852071005917136</v>
      </c>
      <c r="AG81" s="214">
        <f t="shared" si="22"/>
        <v>9.9852071005917136</v>
      </c>
      <c r="AH81" s="180">
        <f t="shared" si="23"/>
        <v>7.5</v>
      </c>
      <c r="AI81" s="337">
        <f t="shared" si="28"/>
        <v>5.8391003460207589</v>
      </c>
      <c r="AJ81" s="257"/>
      <c r="AK81" s="183"/>
      <c r="AL81" s="184"/>
      <c r="AM81" s="184"/>
      <c r="AN81" s="183"/>
      <c r="AO81" s="184"/>
      <c r="AP81" s="184"/>
      <c r="AQ81" s="183"/>
      <c r="AR81" s="184"/>
      <c r="AS81" s="184"/>
      <c r="AT81" s="183"/>
      <c r="AU81" s="184"/>
      <c r="AV81" s="184"/>
      <c r="AW81" s="183"/>
      <c r="AX81" s="184"/>
      <c r="AY81" s="184"/>
      <c r="AZ81" s="183"/>
      <c r="BA81" s="184"/>
      <c r="BB81" s="183"/>
      <c r="BC81" s="184"/>
      <c r="BD81" s="184"/>
      <c r="BE81" s="183"/>
      <c r="BF81" s="184"/>
      <c r="BG81" s="184"/>
      <c r="BH81" s="183"/>
      <c r="BI81" s="184"/>
      <c r="BJ81" s="184"/>
      <c r="BK81" s="183"/>
      <c r="BL81" s="184"/>
      <c r="BM81" s="184"/>
      <c r="BN81" s="183"/>
      <c r="BO81" s="184"/>
      <c r="BP81" s="183"/>
      <c r="BQ81" s="184"/>
      <c r="BR81" s="184"/>
      <c r="BS81" s="183"/>
      <c r="BT81" s="184"/>
      <c r="BU81" s="183"/>
      <c r="BV81" s="184"/>
      <c r="BW81" s="183"/>
      <c r="BX81" s="184"/>
      <c r="BY81" s="183"/>
      <c r="BZ81" s="184"/>
      <c r="CA81" s="183"/>
      <c r="CB81" s="184"/>
      <c r="CC81" s="183"/>
      <c r="CD81" s="184"/>
      <c r="CE81" s="183"/>
      <c r="CF81" s="184"/>
      <c r="CG81" s="183"/>
      <c r="CH81" s="184"/>
      <c r="CI81" s="183"/>
      <c r="CJ81" s="184"/>
      <c r="CK81" s="183"/>
      <c r="CL81" s="184"/>
      <c r="CM81" s="256"/>
    </row>
    <row r="82" spans="1:91" ht="10.5" customHeight="1" thickBot="1">
      <c r="A82" s="179" t="str">
        <f t="shared" si="24"/>
        <v/>
      </c>
      <c r="B82" s="360">
        <v>7.5999999999999998E-2</v>
      </c>
      <c r="C82" s="341"/>
      <c r="D82" s="346"/>
      <c r="E82" s="212"/>
      <c r="F82" s="212"/>
      <c r="G82" s="212"/>
      <c r="H82" s="211"/>
      <c r="I82" s="341"/>
      <c r="J82" s="346"/>
      <c r="K82" s="321"/>
      <c r="L82" s="210"/>
      <c r="M82" s="210"/>
      <c r="N82" s="210"/>
      <c r="O82" s="210"/>
      <c r="P82" s="210"/>
      <c r="Q82" s="328"/>
      <c r="R82" s="210"/>
      <c r="S82" s="209"/>
      <c r="T82" s="207"/>
      <c r="U82" s="209"/>
      <c r="V82" s="207"/>
      <c r="W82" s="226"/>
      <c r="X82" s="206"/>
      <c r="Y82" s="365"/>
      <c r="Z82" s="219">
        <f t="shared" si="20"/>
        <v>61.687433250266992</v>
      </c>
      <c r="AA82" s="363">
        <f t="shared" si="21"/>
        <v>51.510107015457784</v>
      </c>
      <c r="AB82" s="225">
        <f t="shared" si="26"/>
        <v>37.474048442906565</v>
      </c>
      <c r="AC82" s="219">
        <f t="shared" si="25"/>
        <v>23.983391003460202</v>
      </c>
      <c r="AD82" s="353">
        <f t="shared" si="27"/>
        <v>22.893380895759019</v>
      </c>
      <c r="AE82" s="225">
        <f t="shared" si="17"/>
        <v>14.320661157024793</v>
      </c>
      <c r="AF82" s="345">
        <f t="shared" si="19"/>
        <v>10.25325443786982</v>
      </c>
      <c r="AG82" s="219">
        <f t="shared" si="22"/>
        <v>10.25325443786982</v>
      </c>
      <c r="AH82" s="202">
        <f t="shared" si="23"/>
        <v>7.7013333333333351</v>
      </c>
      <c r="AI82" s="334">
        <f t="shared" si="28"/>
        <v>5.9958477508650505</v>
      </c>
      <c r="AJ82" s="255"/>
      <c r="AK82" s="207"/>
      <c r="AL82" s="206"/>
      <c r="AM82" s="206"/>
      <c r="AN82" s="207"/>
      <c r="AO82" s="206"/>
      <c r="AP82" s="206"/>
      <c r="AQ82" s="207"/>
      <c r="AR82" s="206"/>
      <c r="AS82" s="206"/>
      <c r="AT82" s="207"/>
      <c r="AU82" s="206"/>
      <c r="AV82" s="206"/>
      <c r="AW82" s="207"/>
      <c r="AX82" s="206"/>
      <c r="AY82" s="206"/>
      <c r="AZ82" s="207"/>
      <c r="BA82" s="206"/>
      <c r="BB82" s="207"/>
      <c r="BC82" s="206"/>
      <c r="BD82" s="206"/>
      <c r="BE82" s="207"/>
      <c r="BF82" s="206"/>
      <c r="BG82" s="206"/>
      <c r="BH82" s="207"/>
      <c r="BI82" s="206"/>
      <c r="BJ82" s="206"/>
      <c r="BK82" s="207"/>
      <c r="BL82" s="206"/>
      <c r="BM82" s="206"/>
      <c r="BN82" s="207"/>
      <c r="BO82" s="206"/>
      <c r="BP82" s="207"/>
      <c r="BQ82" s="206"/>
      <c r="BR82" s="206"/>
      <c r="BS82" s="207"/>
      <c r="BT82" s="206"/>
      <c r="BU82" s="207"/>
      <c r="BV82" s="206"/>
      <c r="BW82" s="207"/>
      <c r="BX82" s="206"/>
      <c r="BY82" s="207"/>
      <c r="BZ82" s="206"/>
      <c r="CA82" s="207"/>
      <c r="CB82" s="206"/>
      <c r="CC82" s="207"/>
      <c r="CD82" s="206"/>
      <c r="CE82" s="207"/>
      <c r="CF82" s="206"/>
      <c r="CG82" s="207"/>
      <c r="CH82" s="206"/>
      <c r="CI82" s="207"/>
      <c r="CJ82" s="206"/>
      <c r="CK82" s="207"/>
      <c r="CL82" s="206"/>
      <c r="CM82" s="254"/>
    </row>
    <row r="83" spans="1:91" ht="10.5" customHeight="1" thickBot="1">
      <c r="A83" s="179" t="str">
        <f t="shared" si="24"/>
        <v/>
      </c>
      <c r="B83" s="359">
        <v>7.6999999999999999E-2</v>
      </c>
      <c r="C83" s="339"/>
      <c r="D83" s="349"/>
      <c r="E83" s="200"/>
      <c r="F83" s="200"/>
      <c r="G83" s="200"/>
      <c r="H83" s="199"/>
      <c r="I83" s="339"/>
      <c r="J83" s="349"/>
      <c r="K83" s="319"/>
      <c r="L83" s="198"/>
      <c r="M83" s="198"/>
      <c r="N83" s="198"/>
      <c r="O83" s="198"/>
      <c r="P83" s="198"/>
      <c r="Q83" s="325"/>
      <c r="R83" s="198"/>
      <c r="S83" s="197"/>
      <c r="T83" s="194"/>
      <c r="U83" s="197"/>
      <c r="V83" s="194"/>
      <c r="W83" s="224"/>
      <c r="X83" s="195"/>
      <c r="Y83" s="364"/>
      <c r="Z83" s="217">
        <f t="shared" si="20"/>
        <v>63.321466714133152</v>
      </c>
      <c r="AA83" s="362">
        <f t="shared" si="21"/>
        <v>52.874554102259211</v>
      </c>
      <c r="AB83" s="223">
        <f t="shared" si="26"/>
        <v>38.466695501730101</v>
      </c>
      <c r="AC83" s="217">
        <f t="shared" si="25"/>
        <v>24.618685121107259</v>
      </c>
      <c r="AD83" s="352">
        <f t="shared" si="27"/>
        <v>23.499801823226317</v>
      </c>
      <c r="AE83" s="223">
        <f t="shared" si="17"/>
        <v>14.699999999999998</v>
      </c>
      <c r="AF83" s="343">
        <f t="shared" si="19"/>
        <v>10.524852071005917</v>
      </c>
      <c r="AG83" s="217">
        <f t="shared" si="22"/>
        <v>10.524852071005917</v>
      </c>
      <c r="AH83" s="223">
        <f t="shared" si="23"/>
        <v>7.9053333333333322</v>
      </c>
      <c r="AI83" s="337">
        <f t="shared" si="28"/>
        <v>6.1546712802768146</v>
      </c>
      <c r="AJ83" s="253">
        <f t="shared" ref="AJ83:AJ113" si="29" xml:space="preserve"> 30*(B83/B$114)^2</f>
        <v>5.4898148148148156</v>
      </c>
      <c r="AK83" s="304"/>
      <c r="AL83" s="195"/>
      <c r="AM83" s="195"/>
      <c r="AN83" s="194"/>
      <c r="AO83" s="195"/>
      <c r="AP83" s="195"/>
      <c r="AQ83" s="194"/>
      <c r="AR83" s="195"/>
      <c r="AS83" s="195"/>
      <c r="AT83" s="194"/>
      <c r="AU83" s="195"/>
      <c r="AV83" s="195"/>
      <c r="AW83" s="194"/>
      <c r="AX83" s="195"/>
      <c r="AY83" s="195"/>
      <c r="AZ83" s="194"/>
      <c r="BA83" s="195"/>
      <c r="BB83" s="194"/>
      <c r="BC83" s="195"/>
      <c r="BD83" s="195"/>
      <c r="BE83" s="194"/>
      <c r="BF83" s="195"/>
      <c r="BG83" s="195"/>
      <c r="BH83" s="194"/>
      <c r="BI83" s="195"/>
      <c r="BJ83" s="195"/>
      <c r="BK83" s="194"/>
      <c r="BL83" s="195"/>
      <c r="BM83" s="195"/>
      <c r="BN83" s="194"/>
      <c r="BO83" s="195"/>
      <c r="BP83" s="194"/>
      <c r="BQ83" s="195"/>
      <c r="BR83" s="195"/>
      <c r="BS83" s="194"/>
      <c r="BT83" s="195"/>
      <c r="BU83" s="194"/>
      <c r="BV83" s="195"/>
      <c r="BW83" s="194"/>
      <c r="BX83" s="195"/>
      <c r="BY83" s="194"/>
      <c r="BZ83" s="195"/>
      <c r="CA83" s="194"/>
      <c r="CB83" s="195"/>
      <c r="CC83" s="194"/>
      <c r="CD83" s="195"/>
      <c r="CE83" s="194"/>
      <c r="CF83" s="195"/>
      <c r="CG83" s="194"/>
      <c r="CH83" s="195"/>
      <c r="CI83" s="194"/>
      <c r="CJ83" s="195"/>
      <c r="CK83" s="194"/>
      <c r="CL83" s="195"/>
      <c r="CM83" s="258"/>
    </row>
    <row r="84" spans="1:91" ht="10.5" customHeight="1">
      <c r="A84" s="179" t="str">
        <f t="shared" si="24"/>
        <v/>
      </c>
      <c r="B84" s="358">
        <v>7.8E-2</v>
      </c>
      <c r="C84" s="336"/>
      <c r="D84" s="347"/>
      <c r="E84" s="189"/>
      <c r="F84" s="189"/>
      <c r="G84" s="189"/>
      <c r="H84" s="188"/>
      <c r="I84" s="336"/>
      <c r="J84" s="347"/>
      <c r="K84" s="323"/>
      <c r="L84" s="187"/>
      <c r="M84" s="187"/>
      <c r="N84" s="187"/>
      <c r="O84" s="187"/>
      <c r="P84" s="187"/>
      <c r="Q84" s="331"/>
      <c r="R84" s="187"/>
      <c r="S84" s="186"/>
      <c r="T84" s="183"/>
      <c r="U84" s="186"/>
      <c r="V84" s="183"/>
      <c r="W84" s="182"/>
      <c r="X84" s="184"/>
      <c r="Y84" s="357"/>
      <c r="Z84" s="214">
        <f t="shared" si="20"/>
        <v>64.976860092559633</v>
      </c>
      <c r="AA84" s="363">
        <f t="shared" si="21"/>
        <v>54.256837098692039</v>
      </c>
      <c r="AB84" s="221">
        <f t="shared" si="26"/>
        <v>39.47231833910034</v>
      </c>
      <c r="AC84" s="214">
        <f t="shared" si="25"/>
        <v>25.262283737024219</v>
      </c>
      <c r="AD84" s="353">
        <f t="shared" si="27"/>
        <v>24.114149821640904</v>
      </c>
      <c r="AE84" s="221">
        <f t="shared" si="17"/>
        <v>15.084297520661158</v>
      </c>
      <c r="AF84" s="345">
        <f t="shared" si="19"/>
        <v>10.799999999999999</v>
      </c>
      <c r="AG84" s="214">
        <f t="shared" si="22"/>
        <v>10.799999999999999</v>
      </c>
      <c r="AH84" s="221">
        <f t="shared" si="23"/>
        <v>8.1120000000000001</v>
      </c>
      <c r="AI84" s="334">
        <f t="shared" si="28"/>
        <v>6.3155709342560549</v>
      </c>
      <c r="AJ84" s="181">
        <f t="shared" si="29"/>
        <v>5.6333333333333337</v>
      </c>
      <c r="AK84" s="285"/>
      <c r="AL84" s="184"/>
      <c r="AM84" s="184"/>
      <c r="AN84" s="183"/>
      <c r="AO84" s="184"/>
      <c r="AP84" s="184"/>
      <c r="AQ84" s="183"/>
      <c r="AR84" s="184"/>
      <c r="AS84" s="184"/>
      <c r="AT84" s="183"/>
      <c r="AU84" s="184"/>
      <c r="AV84" s="184"/>
      <c r="AW84" s="183"/>
      <c r="AX84" s="184"/>
      <c r="AY84" s="184"/>
      <c r="AZ84" s="183"/>
      <c r="BA84" s="184"/>
      <c r="BB84" s="183"/>
      <c r="BC84" s="184"/>
      <c r="BD84" s="184"/>
      <c r="BE84" s="183"/>
      <c r="BF84" s="184"/>
      <c r="BG84" s="184"/>
      <c r="BH84" s="183"/>
      <c r="BI84" s="184"/>
      <c r="BJ84" s="184"/>
      <c r="BK84" s="183"/>
      <c r="BL84" s="184"/>
      <c r="BM84" s="184"/>
      <c r="BN84" s="183"/>
      <c r="BO84" s="184"/>
      <c r="BP84" s="183"/>
      <c r="BQ84" s="184"/>
      <c r="BR84" s="184"/>
      <c r="BS84" s="183"/>
      <c r="BT84" s="184"/>
      <c r="BU84" s="183"/>
      <c r="BV84" s="184"/>
      <c r="BW84" s="183"/>
      <c r="BX84" s="184"/>
      <c r="BY84" s="183"/>
      <c r="BZ84" s="184"/>
      <c r="CA84" s="183"/>
      <c r="CB84" s="184"/>
      <c r="CC84" s="183"/>
      <c r="CD84" s="184"/>
      <c r="CE84" s="183"/>
      <c r="CF84" s="184"/>
      <c r="CG84" s="183"/>
      <c r="CH84" s="184"/>
      <c r="CI84" s="183"/>
      <c r="CJ84" s="184"/>
      <c r="CK84" s="183"/>
      <c r="CL84" s="184"/>
      <c r="CM84" s="256"/>
    </row>
    <row r="85" spans="1:91" ht="10.5" customHeight="1" thickBot="1">
      <c r="A85" s="179" t="str">
        <f t="shared" si="24"/>
        <v/>
      </c>
      <c r="B85" s="358">
        <v>7.9000000000000001E-2</v>
      </c>
      <c r="C85" s="336"/>
      <c r="D85" s="347"/>
      <c r="E85" s="189"/>
      <c r="F85" s="189"/>
      <c r="G85" s="189"/>
      <c r="H85" s="188"/>
      <c r="I85" s="336"/>
      <c r="J85" s="347"/>
      <c r="K85" s="323"/>
      <c r="L85" s="187"/>
      <c r="M85" s="187"/>
      <c r="N85" s="187"/>
      <c r="O85" s="187"/>
      <c r="P85" s="187"/>
      <c r="Q85" s="331"/>
      <c r="R85" s="187"/>
      <c r="S85" s="186"/>
      <c r="T85" s="183"/>
      <c r="U85" s="186"/>
      <c r="V85" s="183"/>
      <c r="W85" s="182"/>
      <c r="X85" s="184"/>
      <c r="Y85" s="357"/>
      <c r="Z85" s="214">
        <f t="shared" si="20"/>
        <v>66.653613385546464</v>
      </c>
      <c r="AA85" s="362">
        <f t="shared" si="21"/>
        <v>55.656956004756239</v>
      </c>
      <c r="AB85" s="221">
        <f t="shared" si="26"/>
        <v>40.49091695501729</v>
      </c>
      <c r="AC85" s="214">
        <f t="shared" si="25"/>
        <v>25.914186851211067</v>
      </c>
      <c r="AD85" s="352">
        <f t="shared" si="27"/>
        <v>24.73642489100278</v>
      </c>
      <c r="AE85" s="221">
        <f t="shared" ref="AE85:AE106" si="30" xml:space="preserve"> 30*(B85/B$107)^2</f>
        <v>15.473553719008263</v>
      </c>
      <c r="AF85" s="343">
        <f t="shared" si="19"/>
        <v>11.07869822485207</v>
      </c>
      <c r="AG85" s="214">
        <f t="shared" si="22"/>
        <v>11.07869822485207</v>
      </c>
      <c r="AH85" s="221">
        <f t="shared" si="23"/>
        <v>8.3213333333333352</v>
      </c>
      <c r="AI85" s="337">
        <f t="shared" si="28"/>
        <v>6.4785467128027667</v>
      </c>
      <c r="AJ85" s="181">
        <f t="shared" si="29"/>
        <v>5.7787037037037043</v>
      </c>
      <c r="AK85" s="285"/>
      <c r="AL85" s="184"/>
      <c r="AM85" s="184"/>
      <c r="AN85" s="183"/>
      <c r="AO85" s="184"/>
      <c r="AP85" s="184"/>
      <c r="AQ85" s="183"/>
      <c r="AR85" s="184"/>
      <c r="AS85" s="184"/>
      <c r="AT85" s="183"/>
      <c r="AU85" s="184"/>
      <c r="AV85" s="184"/>
      <c r="AW85" s="183"/>
      <c r="AX85" s="184"/>
      <c r="AY85" s="184"/>
      <c r="AZ85" s="183"/>
      <c r="BA85" s="184"/>
      <c r="BB85" s="183"/>
      <c r="BC85" s="184"/>
      <c r="BD85" s="184"/>
      <c r="BE85" s="183"/>
      <c r="BF85" s="184"/>
      <c r="BG85" s="184"/>
      <c r="BH85" s="183"/>
      <c r="BI85" s="184"/>
      <c r="BJ85" s="184"/>
      <c r="BK85" s="183"/>
      <c r="BL85" s="184"/>
      <c r="BM85" s="184"/>
      <c r="BN85" s="183"/>
      <c r="BO85" s="184"/>
      <c r="BP85" s="183"/>
      <c r="BQ85" s="184"/>
      <c r="BR85" s="184"/>
      <c r="BS85" s="183"/>
      <c r="BT85" s="184"/>
      <c r="BU85" s="183"/>
      <c r="BV85" s="184"/>
      <c r="BW85" s="183"/>
      <c r="BX85" s="184"/>
      <c r="BY85" s="183"/>
      <c r="BZ85" s="184"/>
      <c r="CA85" s="183"/>
      <c r="CB85" s="184"/>
      <c r="CC85" s="183"/>
      <c r="CD85" s="184"/>
      <c r="CE85" s="183"/>
      <c r="CF85" s="184"/>
      <c r="CG85" s="183"/>
      <c r="CH85" s="184"/>
      <c r="CI85" s="183"/>
      <c r="CJ85" s="184"/>
      <c r="CK85" s="183"/>
      <c r="CL85" s="184"/>
      <c r="CM85" s="256"/>
    </row>
    <row r="86" spans="1:91" ht="10.5" customHeight="1">
      <c r="A86" s="179" t="str">
        <f t="shared" si="24"/>
        <v/>
      </c>
      <c r="B86" s="360">
        <v>0.08</v>
      </c>
      <c r="C86" s="341"/>
      <c r="D86" s="346"/>
      <c r="E86" s="212"/>
      <c r="F86" s="212"/>
      <c r="G86" s="212"/>
      <c r="H86" s="211"/>
      <c r="I86" s="341"/>
      <c r="J86" s="346"/>
      <c r="K86" s="321"/>
      <c r="L86" s="210"/>
      <c r="M86" s="210"/>
      <c r="N86" s="210"/>
      <c r="O86" s="210"/>
      <c r="P86" s="210"/>
      <c r="Q86" s="328"/>
      <c r="R86" s="210"/>
      <c r="S86" s="209"/>
      <c r="T86" s="207"/>
      <c r="U86" s="209"/>
      <c r="V86" s="207"/>
      <c r="W86" s="226"/>
      <c r="X86" s="206"/>
      <c r="Y86" s="365"/>
      <c r="Z86" s="219">
        <f t="shared" si="20"/>
        <v>68.35172659309363</v>
      </c>
      <c r="AA86" s="363">
        <f t="shared" si="21"/>
        <v>57.074910820451827</v>
      </c>
      <c r="AB86" s="225">
        <f t="shared" si="26"/>
        <v>41.522491349480973</v>
      </c>
      <c r="AC86" s="219">
        <f t="shared" si="25"/>
        <v>26.574394463667822</v>
      </c>
      <c r="AD86" s="353">
        <f t="shared" si="27"/>
        <v>25.366627031311936</v>
      </c>
      <c r="AE86" s="225">
        <f t="shared" si="30"/>
        <v>15.867768595041323</v>
      </c>
      <c r="AF86" s="345">
        <f t="shared" si="19"/>
        <v>11.360946745562131</v>
      </c>
      <c r="AG86" s="219">
        <f t="shared" si="22"/>
        <v>11.360946745562131</v>
      </c>
      <c r="AH86" s="225">
        <f t="shared" si="23"/>
        <v>8.5333333333333332</v>
      </c>
      <c r="AI86" s="334">
        <f t="shared" si="28"/>
        <v>6.6435986159169556</v>
      </c>
      <c r="AJ86" s="203">
        <f t="shared" si="29"/>
        <v>5.9259259259259265</v>
      </c>
      <c r="AK86" s="286"/>
      <c r="AL86" s="206"/>
      <c r="AM86" s="206"/>
      <c r="AN86" s="207"/>
      <c r="AO86" s="206"/>
      <c r="AP86" s="206"/>
      <c r="AQ86" s="207"/>
      <c r="AR86" s="206"/>
      <c r="AS86" s="206"/>
      <c r="AT86" s="207"/>
      <c r="AU86" s="206"/>
      <c r="AV86" s="206"/>
      <c r="AW86" s="207"/>
      <c r="AX86" s="206"/>
      <c r="AY86" s="206"/>
      <c r="AZ86" s="207"/>
      <c r="BA86" s="206"/>
      <c r="BB86" s="207"/>
      <c r="BC86" s="206"/>
      <c r="BD86" s="206"/>
      <c r="BE86" s="207"/>
      <c r="BF86" s="206"/>
      <c r="BG86" s="206"/>
      <c r="BH86" s="207"/>
      <c r="BI86" s="206"/>
      <c r="BJ86" s="206"/>
      <c r="BK86" s="207"/>
      <c r="BL86" s="206"/>
      <c r="BM86" s="206"/>
      <c r="BN86" s="207"/>
      <c r="BO86" s="206"/>
      <c r="BP86" s="207"/>
      <c r="BQ86" s="206"/>
      <c r="BR86" s="206"/>
      <c r="BS86" s="207"/>
      <c r="BT86" s="206"/>
      <c r="BU86" s="207"/>
      <c r="BV86" s="206"/>
      <c r="BW86" s="207"/>
      <c r="BX86" s="206"/>
      <c r="BY86" s="207"/>
      <c r="BZ86" s="206"/>
      <c r="CA86" s="207"/>
      <c r="CB86" s="206"/>
      <c r="CC86" s="207"/>
      <c r="CD86" s="206"/>
      <c r="CE86" s="207"/>
      <c r="CF86" s="206"/>
      <c r="CG86" s="207"/>
      <c r="CH86" s="206"/>
      <c r="CI86" s="207"/>
      <c r="CJ86" s="206"/>
      <c r="CK86" s="207"/>
      <c r="CL86" s="206"/>
      <c r="CM86" s="254"/>
    </row>
    <row r="87" spans="1:91" ht="10.5" customHeight="1" thickBot="1">
      <c r="A87" s="179" t="str">
        <f t="shared" si="24"/>
        <v/>
      </c>
      <c r="B87" s="359">
        <v>8.1000000000000003E-2</v>
      </c>
      <c r="C87" s="339"/>
      <c r="D87" s="349"/>
      <c r="E87" s="200"/>
      <c r="F87" s="200"/>
      <c r="G87" s="200"/>
      <c r="H87" s="199"/>
      <c r="I87" s="339"/>
      <c r="J87" s="349"/>
      <c r="K87" s="319"/>
      <c r="L87" s="198"/>
      <c r="M87" s="198"/>
      <c r="N87" s="198"/>
      <c r="O87" s="198"/>
      <c r="P87" s="198"/>
      <c r="Q87" s="325"/>
      <c r="R87" s="198"/>
      <c r="S87" s="197"/>
      <c r="T87" s="194"/>
      <c r="U87" s="197"/>
      <c r="V87" s="194"/>
      <c r="W87" s="224"/>
      <c r="X87" s="195"/>
      <c r="Y87" s="364"/>
      <c r="Z87" s="217">
        <f t="shared" si="20"/>
        <v>70.071199715201146</v>
      </c>
      <c r="AA87" s="362">
        <f t="shared" si="21"/>
        <v>58.510701545778836</v>
      </c>
      <c r="AB87" s="223">
        <f t="shared" si="26"/>
        <v>42.567041522491344</v>
      </c>
      <c r="AC87" s="217">
        <f t="shared" si="25"/>
        <v>27.242906574394461</v>
      </c>
      <c r="AD87" s="352">
        <f t="shared" si="27"/>
        <v>26.004756242568373</v>
      </c>
      <c r="AE87" s="223">
        <f t="shared" si="30"/>
        <v>16.266942148760329</v>
      </c>
      <c r="AF87" s="343">
        <f t="shared" si="19"/>
        <v>11.646745562130178</v>
      </c>
      <c r="AG87" s="217">
        <f t="shared" si="22"/>
        <v>11.646745562130178</v>
      </c>
      <c r="AH87" s="223">
        <f t="shared" si="23"/>
        <v>8.7480000000000011</v>
      </c>
      <c r="AI87" s="337">
        <f t="shared" si="28"/>
        <v>6.8107266435986151</v>
      </c>
      <c r="AJ87" s="192">
        <f t="shared" si="29"/>
        <v>6.0750000000000002</v>
      </c>
      <c r="AK87" s="304"/>
      <c r="AL87" s="195"/>
      <c r="AM87" s="195"/>
      <c r="AN87" s="194"/>
      <c r="AO87" s="195"/>
      <c r="AP87" s="195"/>
      <c r="AQ87" s="194"/>
      <c r="AR87" s="195"/>
      <c r="AS87" s="195"/>
      <c r="AT87" s="194"/>
      <c r="AU87" s="195"/>
      <c r="AV87" s="195"/>
      <c r="AW87" s="194"/>
      <c r="AX87" s="195"/>
      <c r="AY87" s="195"/>
      <c r="AZ87" s="194"/>
      <c r="BA87" s="195"/>
      <c r="BB87" s="194"/>
      <c r="BC87" s="195"/>
      <c r="BD87" s="195"/>
      <c r="BE87" s="194"/>
      <c r="BF87" s="195"/>
      <c r="BG87" s="195"/>
      <c r="BH87" s="194"/>
      <c r="BI87" s="195"/>
      <c r="BJ87" s="195"/>
      <c r="BK87" s="194"/>
      <c r="BL87" s="195"/>
      <c r="BM87" s="195"/>
      <c r="BN87" s="194"/>
      <c r="BO87" s="195"/>
      <c r="BP87" s="194"/>
      <c r="BQ87" s="195"/>
      <c r="BR87" s="195"/>
      <c r="BS87" s="194"/>
      <c r="BT87" s="195"/>
      <c r="BU87" s="194"/>
      <c r="BV87" s="195"/>
      <c r="BW87" s="194"/>
      <c r="BX87" s="195"/>
      <c r="BY87" s="194"/>
      <c r="BZ87" s="195"/>
      <c r="CA87" s="194"/>
      <c r="CB87" s="195"/>
      <c r="CC87" s="194"/>
      <c r="CD87" s="195"/>
      <c r="CE87" s="194"/>
      <c r="CF87" s="195"/>
      <c r="CG87" s="194"/>
      <c r="CH87" s="195"/>
      <c r="CI87" s="194"/>
      <c r="CJ87" s="195"/>
      <c r="CK87" s="194"/>
      <c r="CL87" s="195"/>
      <c r="CM87" s="258"/>
    </row>
    <row r="88" spans="1:91" ht="10.5" customHeight="1">
      <c r="A88" s="179" t="str">
        <f t="shared" si="24"/>
        <v/>
      </c>
      <c r="B88" s="358">
        <v>8.2000000000000003E-2</v>
      </c>
      <c r="C88" s="336"/>
      <c r="D88" s="347"/>
      <c r="E88" s="189"/>
      <c r="F88" s="189"/>
      <c r="G88" s="189"/>
      <c r="H88" s="188"/>
      <c r="I88" s="336"/>
      <c r="J88" s="347"/>
      <c r="K88" s="323"/>
      <c r="L88" s="187"/>
      <c r="M88" s="187"/>
      <c r="N88" s="187"/>
      <c r="O88" s="187"/>
      <c r="P88" s="187"/>
      <c r="Q88" s="331"/>
      <c r="R88" s="187"/>
      <c r="S88" s="186"/>
      <c r="T88" s="183"/>
      <c r="U88" s="186"/>
      <c r="V88" s="183"/>
      <c r="W88" s="182"/>
      <c r="X88" s="184"/>
      <c r="Y88" s="285"/>
      <c r="Z88" s="232"/>
      <c r="AA88" s="363">
        <f t="shared" si="21"/>
        <v>59.964328180737212</v>
      </c>
      <c r="AB88" s="221">
        <f t="shared" si="26"/>
        <v>43.624567474048433</v>
      </c>
      <c r="AC88" s="214">
        <f t="shared" si="25"/>
        <v>27.919723183391003</v>
      </c>
      <c r="AD88" s="353">
        <f t="shared" si="27"/>
        <v>26.6508125247721</v>
      </c>
      <c r="AE88" s="221">
        <f t="shared" si="30"/>
        <v>16.67107438016529</v>
      </c>
      <c r="AF88" s="345">
        <f t="shared" si="19"/>
        <v>11.936094674556212</v>
      </c>
      <c r="AG88" s="214">
        <f t="shared" si="22"/>
        <v>11.936094674556212</v>
      </c>
      <c r="AH88" s="221">
        <f t="shared" si="23"/>
        <v>8.9653333333333354</v>
      </c>
      <c r="AI88" s="334">
        <f t="shared" si="28"/>
        <v>6.9799307958477508</v>
      </c>
      <c r="AJ88" s="181">
        <f t="shared" si="29"/>
        <v>6.2259259259259272</v>
      </c>
      <c r="AK88" s="285"/>
      <c r="AL88" s="184"/>
      <c r="AM88" s="184"/>
      <c r="AN88" s="183"/>
      <c r="AO88" s="184"/>
      <c r="AP88" s="184"/>
      <c r="AQ88" s="183"/>
      <c r="AR88" s="184"/>
      <c r="AS88" s="184"/>
      <c r="AT88" s="183"/>
      <c r="AU88" s="184"/>
      <c r="AV88" s="184"/>
      <c r="AW88" s="183"/>
      <c r="AX88" s="184"/>
      <c r="AY88" s="184"/>
      <c r="AZ88" s="183"/>
      <c r="BA88" s="184"/>
      <c r="BB88" s="183"/>
      <c r="BC88" s="184"/>
      <c r="BD88" s="184"/>
      <c r="BE88" s="183"/>
      <c r="BF88" s="184"/>
      <c r="BG88" s="184"/>
      <c r="BH88" s="183"/>
      <c r="BI88" s="184"/>
      <c r="BJ88" s="184"/>
      <c r="BK88" s="183"/>
      <c r="BL88" s="184"/>
      <c r="BM88" s="184"/>
      <c r="BN88" s="183"/>
      <c r="BO88" s="184"/>
      <c r="BP88" s="183"/>
      <c r="BQ88" s="184"/>
      <c r="BR88" s="184"/>
      <c r="BS88" s="183"/>
      <c r="BT88" s="184"/>
      <c r="BU88" s="183"/>
      <c r="BV88" s="184"/>
      <c r="BW88" s="183"/>
      <c r="BX88" s="184"/>
      <c r="BY88" s="183"/>
      <c r="BZ88" s="184"/>
      <c r="CA88" s="183"/>
      <c r="CB88" s="184"/>
      <c r="CC88" s="183"/>
      <c r="CD88" s="184"/>
      <c r="CE88" s="183"/>
      <c r="CF88" s="184"/>
      <c r="CG88" s="183"/>
      <c r="CH88" s="184"/>
      <c r="CI88" s="183"/>
      <c r="CJ88" s="184"/>
      <c r="CK88" s="183"/>
      <c r="CL88" s="184"/>
      <c r="CM88" s="256"/>
    </row>
    <row r="89" spans="1:91" ht="10.5" customHeight="1" thickBot="1">
      <c r="A89" s="179" t="str">
        <f t="shared" si="24"/>
        <v/>
      </c>
      <c r="B89" s="358">
        <v>8.3000000000000004E-2</v>
      </c>
      <c r="C89" s="336"/>
      <c r="D89" s="347"/>
      <c r="E89" s="189"/>
      <c r="F89" s="189"/>
      <c r="G89" s="189"/>
      <c r="H89" s="188"/>
      <c r="I89" s="336"/>
      <c r="J89" s="347"/>
      <c r="K89" s="323"/>
      <c r="L89" s="187"/>
      <c r="M89" s="187"/>
      <c r="N89" s="187"/>
      <c r="O89" s="187"/>
      <c r="P89" s="187"/>
      <c r="Q89" s="331"/>
      <c r="R89" s="187"/>
      <c r="S89" s="186"/>
      <c r="T89" s="183"/>
      <c r="U89" s="186"/>
      <c r="V89" s="183"/>
      <c r="W89" s="182"/>
      <c r="X89" s="184"/>
      <c r="Y89" s="285"/>
      <c r="Z89" s="232"/>
      <c r="AA89" s="362">
        <f t="shared" si="21"/>
        <v>61.435790725326996</v>
      </c>
      <c r="AB89" s="221">
        <f t="shared" si="26"/>
        <v>44.69506920415224</v>
      </c>
      <c r="AC89" s="214">
        <f t="shared" si="25"/>
        <v>28.604844290657436</v>
      </c>
      <c r="AD89" s="352">
        <f t="shared" si="27"/>
        <v>27.304795877923116</v>
      </c>
      <c r="AE89" s="221">
        <f t="shared" si="30"/>
        <v>17.080165289256204</v>
      </c>
      <c r="AF89" s="343">
        <f t="shared" ref="AF89:AF116" si="31" xml:space="preserve"> 30*(B89/B$109)^2</f>
        <v>12.22899408284024</v>
      </c>
      <c r="AG89" s="214">
        <f t="shared" si="22"/>
        <v>12.22899408284024</v>
      </c>
      <c r="AH89" s="221">
        <f t="shared" si="23"/>
        <v>9.1853333333333325</v>
      </c>
      <c r="AI89" s="337">
        <f t="shared" si="28"/>
        <v>7.151211072664359</v>
      </c>
      <c r="AJ89" s="181">
        <f t="shared" si="29"/>
        <v>6.3787037037037049</v>
      </c>
      <c r="AK89" s="285"/>
      <c r="AL89" s="184"/>
      <c r="AM89" s="184"/>
      <c r="AN89" s="183"/>
      <c r="AO89" s="184"/>
      <c r="AP89" s="184"/>
      <c r="AQ89" s="183"/>
      <c r="AR89" s="184"/>
      <c r="AS89" s="184"/>
      <c r="AT89" s="183"/>
      <c r="AU89" s="184"/>
      <c r="AV89" s="184"/>
      <c r="AW89" s="183"/>
      <c r="AX89" s="184"/>
      <c r="AY89" s="184"/>
      <c r="AZ89" s="183"/>
      <c r="BA89" s="184"/>
      <c r="BB89" s="183"/>
      <c r="BC89" s="184"/>
      <c r="BD89" s="184"/>
      <c r="BE89" s="183"/>
      <c r="BF89" s="184"/>
      <c r="BG89" s="184"/>
      <c r="BH89" s="183"/>
      <c r="BI89" s="184"/>
      <c r="BJ89" s="184"/>
      <c r="BK89" s="183"/>
      <c r="BL89" s="184"/>
      <c r="BM89" s="184"/>
      <c r="BN89" s="183"/>
      <c r="BO89" s="184"/>
      <c r="BP89" s="183"/>
      <c r="BQ89" s="184"/>
      <c r="BR89" s="184"/>
      <c r="BS89" s="183"/>
      <c r="BT89" s="184"/>
      <c r="BU89" s="183"/>
      <c r="BV89" s="184"/>
      <c r="BW89" s="183"/>
      <c r="BX89" s="184"/>
      <c r="BY89" s="183"/>
      <c r="BZ89" s="184"/>
      <c r="CA89" s="183"/>
      <c r="CB89" s="184"/>
      <c r="CC89" s="183"/>
      <c r="CD89" s="184"/>
      <c r="CE89" s="183"/>
      <c r="CF89" s="184"/>
      <c r="CG89" s="183"/>
      <c r="CH89" s="184"/>
      <c r="CI89" s="183"/>
      <c r="CJ89" s="184"/>
      <c r="CK89" s="183"/>
      <c r="CL89" s="184"/>
      <c r="CM89" s="256"/>
    </row>
    <row r="90" spans="1:91" ht="10.5" customHeight="1" thickBot="1">
      <c r="A90" s="179" t="str">
        <f t="shared" si="24"/>
        <v/>
      </c>
      <c r="B90" s="360">
        <v>8.4000000000000005E-2</v>
      </c>
      <c r="C90" s="341"/>
      <c r="D90" s="346"/>
      <c r="E90" s="212"/>
      <c r="F90" s="212"/>
      <c r="G90" s="212"/>
      <c r="H90" s="211"/>
      <c r="I90" s="341"/>
      <c r="J90" s="346"/>
      <c r="K90" s="321"/>
      <c r="L90" s="210"/>
      <c r="M90" s="210"/>
      <c r="N90" s="210"/>
      <c r="O90" s="210"/>
      <c r="P90" s="210"/>
      <c r="Q90" s="328"/>
      <c r="R90" s="210"/>
      <c r="S90" s="209"/>
      <c r="T90" s="207"/>
      <c r="U90" s="209"/>
      <c r="V90" s="207"/>
      <c r="W90" s="226"/>
      <c r="X90" s="206"/>
      <c r="Y90" s="286"/>
      <c r="Z90" s="239"/>
      <c r="AA90" s="363">
        <f t="shared" si="21"/>
        <v>62.925089179548166</v>
      </c>
      <c r="AB90" s="225">
        <f t="shared" si="26"/>
        <v>45.778546712802772</v>
      </c>
      <c r="AC90" s="219">
        <f t="shared" si="25"/>
        <v>29.298269896193776</v>
      </c>
      <c r="AD90" s="353">
        <f t="shared" si="27"/>
        <v>27.966706302021414</v>
      </c>
      <c r="AE90" s="225">
        <f t="shared" si="30"/>
        <v>17.494214876033059</v>
      </c>
      <c r="AF90" s="345">
        <f t="shared" si="31"/>
        <v>12.525443786982251</v>
      </c>
      <c r="AG90" s="219">
        <f t="shared" si="22"/>
        <v>12.525443786982251</v>
      </c>
      <c r="AH90" s="225">
        <f t="shared" si="23"/>
        <v>9.4080000000000013</v>
      </c>
      <c r="AI90" s="334">
        <f t="shared" si="28"/>
        <v>7.3245674740484441</v>
      </c>
      <c r="AJ90" s="203">
        <f t="shared" si="29"/>
        <v>6.533333333333335</v>
      </c>
      <c r="AK90" s="268"/>
      <c r="AL90" s="206"/>
      <c r="AM90" s="206"/>
      <c r="AN90" s="207"/>
      <c r="AO90" s="206"/>
      <c r="AP90" s="206"/>
      <c r="AQ90" s="207"/>
      <c r="AR90" s="206"/>
      <c r="AS90" s="206"/>
      <c r="AT90" s="207"/>
      <c r="AU90" s="206"/>
      <c r="AV90" s="206"/>
      <c r="AW90" s="207"/>
      <c r="AX90" s="206"/>
      <c r="AY90" s="206"/>
      <c r="AZ90" s="207"/>
      <c r="BA90" s="206"/>
      <c r="BB90" s="207"/>
      <c r="BC90" s="206"/>
      <c r="BD90" s="206"/>
      <c r="BE90" s="207"/>
      <c r="BF90" s="206"/>
      <c r="BG90" s="206"/>
      <c r="BH90" s="207"/>
      <c r="BI90" s="206"/>
      <c r="BJ90" s="206"/>
      <c r="BK90" s="207"/>
      <c r="BL90" s="206"/>
      <c r="BM90" s="206"/>
      <c r="BN90" s="207"/>
      <c r="BO90" s="206"/>
      <c r="BP90" s="207"/>
      <c r="BQ90" s="206"/>
      <c r="BR90" s="206"/>
      <c r="BS90" s="207"/>
      <c r="BT90" s="206"/>
      <c r="BU90" s="207"/>
      <c r="BV90" s="206"/>
      <c r="BW90" s="207"/>
      <c r="BX90" s="206"/>
      <c r="BY90" s="207"/>
      <c r="BZ90" s="206"/>
      <c r="CA90" s="207"/>
      <c r="CB90" s="206"/>
      <c r="CC90" s="207"/>
      <c r="CD90" s="206"/>
      <c r="CE90" s="207"/>
      <c r="CF90" s="206"/>
      <c r="CG90" s="207"/>
      <c r="CH90" s="206"/>
      <c r="CI90" s="207"/>
      <c r="CJ90" s="206"/>
      <c r="CK90" s="207"/>
      <c r="CL90" s="206"/>
      <c r="CM90" s="254"/>
    </row>
    <row r="91" spans="1:91" ht="10.5" customHeight="1" thickBot="1">
      <c r="A91" s="179" t="str">
        <f t="shared" si="24"/>
        <v/>
      </c>
      <c r="B91" s="359">
        <v>8.5000000000000006E-2</v>
      </c>
      <c r="C91" s="339"/>
      <c r="D91" s="349"/>
      <c r="E91" s="200"/>
      <c r="F91" s="200"/>
      <c r="G91" s="200"/>
      <c r="H91" s="199"/>
      <c r="I91" s="339"/>
      <c r="J91" s="349"/>
      <c r="K91" s="319"/>
      <c r="L91" s="198"/>
      <c r="M91" s="198"/>
      <c r="N91" s="198"/>
      <c r="O91" s="198"/>
      <c r="P91" s="198"/>
      <c r="Q91" s="325"/>
      <c r="R91" s="198"/>
      <c r="S91" s="197"/>
      <c r="T91" s="194"/>
      <c r="U91" s="197"/>
      <c r="V91" s="194"/>
      <c r="W91" s="224"/>
      <c r="X91" s="195"/>
      <c r="Y91" s="304"/>
      <c r="Z91" s="193"/>
      <c r="AA91" s="362">
        <f t="shared" si="21"/>
        <v>64.432223543400696</v>
      </c>
      <c r="AB91" s="223">
        <f t="shared" si="26"/>
        <v>46.875</v>
      </c>
      <c r="AC91" s="234">
        <v>30</v>
      </c>
      <c r="AD91" s="352">
        <f t="shared" si="27"/>
        <v>28.636543797066992</v>
      </c>
      <c r="AE91" s="223">
        <f t="shared" si="30"/>
        <v>17.913223140495873</v>
      </c>
      <c r="AF91" s="343">
        <f t="shared" si="31"/>
        <v>12.825443786982248</v>
      </c>
      <c r="AG91" s="217">
        <f t="shared" si="22"/>
        <v>12.825443786982248</v>
      </c>
      <c r="AH91" s="223">
        <f t="shared" si="23"/>
        <v>9.6333333333333364</v>
      </c>
      <c r="AI91" s="337">
        <f t="shared" si="28"/>
        <v>7.5</v>
      </c>
      <c r="AJ91" s="217">
        <f t="shared" si="29"/>
        <v>6.6898148148148167</v>
      </c>
      <c r="AK91" s="274">
        <f t="shared" ref="AK91:AK127" si="32" xml:space="preserve"> 30*(B91/B$116)^2</f>
        <v>5.4187499999999993</v>
      </c>
      <c r="AL91" s="259"/>
      <c r="AM91" s="259"/>
      <c r="AN91" s="194"/>
      <c r="AO91" s="259"/>
      <c r="AP91" s="195"/>
      <c r="AQ91" s="194"/>
      <c r="AR91" s="195"/>
      <c r="AS91" s="195"/>
      <c r="AT91" s="194"/>
      <c r="AU91" s="195"/>
      <c r="AV91" s="195"/>
      <c r="AW91" s="194"/>
      <c r="AX91" s="195"/>
      <c r="AY91" s="195"/>
      <c r="AZ91" s="194"/>
      <c r="BA91" s="195"/>
      <c r="BB91" s="194"/>
      <c r="BC91" s="195"/>
      <c r="BD91" s="195"/>
      <c r="BE91" s="194"/>
      <c r="BF91" s="195"/>
      <c r="BG91" s="195"/>
      <c r="BH91" s="194"/>
      <c r="BI91" s="195"/>
      <c r="BJ91" s="195"/>
      <c r="BK91" s="194"/>
      <c r="BL91" s="195"/>
      <c r="BM91" s="195"/>
      <c r="BN91" s="194"/>
      <c r="BO91" s="195"/>
      <c r="BP91" s="194"/>
      <c r="BQ91" s="195"/>
      <c r="BR91" s="195"/>
      <c r="BS91" s="194"/>
      <c r="BT91" s="195"/>
      <c r="BU91" s="194"/>
      <c r="BV91" s="195"/>
      <c r="BW91" s="194"/>
      <c r="BX91" s="195"/>
      <c r="BY91" s="194"/>
      <c r="BZ91" s="195"/>
      <c r="CA91" s="194"/>
      <c r="CB91" s="195"/>
      <c r="CC91" s="194"/>
      <c r="CD91" s="195"/>
      <c r="CE91" s="194"/>
      <c r="CF91" s="195"/>
      <c r="CG91" s="194"/>
      <c r="CH91" s="195"/>
      <c r="CI91" s="194"/>
      <c r="CJ91" s="195"/>
      <c r="CK91" s="194"/>
      <c r="CL91" s="195"/>
      <c r="CM91" s="258"/>
    </row>
    <row r="92" spans="1:91" ht="10.5" customHeight="1">
      <c r="A92" s="179" t="str">
        <f t="shared" si="24"/>
        <v/>
      </c>
      <c r="B92" s="358">
        <v>8.5999999999999993E-2</v>
      </c>
      <c r="C92" s="336"/>
      <c r="D92" s="347"/>
      <c r="E92" s="189"/>
      <c r="F92" s="189"/>
      <c r="G92" s="189"/>
      <c r="H92" s="188"/>
      <c r="I92" s="336"/>
      <c r="J92" s="347"/>
      <c r="K92" s="323"/>
      <c r="L92" s="187"/>
      <c r="M92" s="187"/>
      <c r="N92" s="187"/>
      <c r="O92" s="187"/>
      <c r="P92" s="187"/>
      <c r="Q92" s="331"/>
      <c r="R92" s="187"/>
      <c r="S92" s="186"/>
      <c r="T92" s="183"/>
      <c r="U92" s="186"/>
      <c r="V92" s="183"/>
      <c r="W92" s="182"/>
      <c r="X92" s="184"/>
      <c r="Y92" s="285"/>
      <c r="Z92" s="232"/>
      <c r="AA92" s="363">
        <f t="shared" si="21"/>
        <v>65.957193816884654</v>
      </c>
      <c r="AB92" s="221">
        <f t="shared" si="26"/>
        <v>47.984429065743925</v>
      </c>
      <c r="AC92" s="214">
        <f t="shared" ref="AC92:AC109" si="33" xml:space="preserve"> 30*(B92/B$91)^2</f>
        <v>30.710034602076107</v>
      </c>
      <c r="AD92" s="353">
        <f t="shared" si="27"/>
        <v>29.314308363059848</v>
      </c>
      <c r="AE92" s="221">
        <f t="shared" si="30"/>
        <v>18.337190082644625</v>
      </c>
      <c r="AF92" s="345">
        <f t="shared" si="31"/>
        <v>13.128994082840231</v>
      </c>
      <c r="AG92" s="214">
        <f t="shared" si="22"/>
        <v>13.128994082840231</v>
      </c>
      <c r="AH92" s="221">
        <f t="shared" si="23"/>
        <v>9.8613333333333344</v>
      </c>
      <c r="AI92" s="334">
        <f t="shared" si="28"/>
        <v>7.6775086505190266</v>
      </c>
      <c r="AJ92" s="214">
        <f t="shared" si="29"/>
        <v>6.8481481481481472</v>
      </c>
      <c r="AK92" s="180">
        <f t="shared" si="32"/>
        <v>5.5469999999999988</v>
      </c>
      <c r="AL92" s="257"/>
      <c r="AM92" s="257"/>
      <c r="AN92" s="183"/>
      <c r="AO92" s="257"/>
      <c r="AP92" s="184"/>
      <c r="AQ92" s="183"/>
      <c r="AR92" s="184"/>
      <c r="AS92" s="184"/>
      <c r="AT92" s="183"/>
      <c r="AU92" s="184"/>
      <c r="AV92" s="184"/>
      <c r="AW92" s="183"/>
      <c r="AX92" s="184"/>
      <c r="AY92" s="184"/>
      <c r="AZ92" s="183"/>
      <c r="BA92" s="184"/>
      <c r="BB92" s="183"/>
      <c r="BC92" s="184"/>
      <c r="BD92" s="184"/>
      <c r="BE92" s="183"/>
      <c r="BF92" s="184"/>
      <c r="BG92" s="184"/>
      <c r="BH92" s="183"/>
      <c r="BI92" s="184"/>
      <c r="BJ92" s="184"/>
      <c r="BK92" s="183"/>
      <c r="BL92" s="184"/>
      <c r="BM92" s="184"/>
      <c r="BN92" s="183"/>
      <c r="BO92" s="184"/>
      <c r="BP92" s="183"/>
      <c r="BQ92" s="184"/>
      <c r="BR92" s="184"/>
      <c r="BS92" s="183"/>
      <c r="BT92" s="184"/>
      <c r="BU92" s="183"/>
      <c r="BV92" s="184"/>
      <c r="BW92" s="183"/>
      <c r="BX92" s="184"/>
      <c r="BY92" s="183"/>
      <c r="BZ92" s="184"/>
      <c r="CA92" s="183"/>
      <c r="CB92" s="184"/>
      <c r="CC92" s="183"/>
      <c r="CD92" s="184"/>
      <c r="CE92" s="183"/>
      <c r="CF92" s="184"/>
      <c r="CG92" s="183"/>
      <c r="CH92" s="184"/>
      <c r="CI92" s="183"/>
      <c r="CJ92" s="184"/>
      <c r="CK92" s="183"/>
      <c r="CL92" s="184"/>
      <c r="CM92" s="256"/>
    </row>
    <row r="93" spans="1:91" ht="10.5" customHeight="1" thickBot="1">
      <c r="A93" s="179" t="str">
        <f t="shared" si="24"/>
        <v/>
      </c>
      <c r="B93" s="358">
        <v>8.6999999999999994E-2</v>
      </c>
      <c r="C93" s="336"/>
      <c r="D93" s="347"/>
      <c r="E93" s="189"/>
      <c r="F93" s="189"/>
      <c r="G93" s="189"/>
      <c r="H93" s="188"/>
      <c r="I93" s="336"/>
      <c r="J93" s="347"/>
      <c r="K93" s="323"/>
      <c r="L93" s="187"/>
      <c r="M93" s="187"/>
      <c r="N93" s="187"/>
      <c r="O93" s="187"/>
      <c r="P93" s="187"/>
      <c r="Q93" s="331"/>
      <c r="R93" s="187"/>
      <c r="S93" s="186"/>
      <c r="T93" s="183"/>
      <c r="U93" s="186"/>
      <c r="V93" s="183"/>
      <c r="W93" s="182"/>
      <c r="X93" s="184"/>
      <c r="Y93" s="285"/>
      <c r="Z93" s="182"/>
      <c r="AA93" s="362">
        <f t="shared" si="21"/>
        <v>67.499999999999972</v>
      </c>
      <c r="AB93" s="221">
        <f t="shared" si="26"/>
        <v>49.106833910034595</v>
      </c>
      <c r="AC93" s="214">
        <f t="shared" si="33"/>
        <v>31.428373702422142</v>
      </c>
      <c r="AD93" s="352">
        <f t="shared" si="27"/>
        <v>30</v>
      </c>
      <c r="AE93" s="221">
        <f t="shared" si="30"/>
        <v>18.76611570247934</v>
      </c>
      <c r="AF93" s="343">
        <f t="shared" si="31"/>
        <v>13.436094674556211</v>
      </c>
      <c r="AG93" s="214">
        <f t="shared" si="22"/>
        <v>13.436094674556211</v>
      </c>
      <c r="AH93" s="221">
        <f t="shared" si="23"/>
        <v>10.091999999999999</v>
      </c>
      <c r="AI93" s="337">
        <f t="shared" si="28"/>
        <v>7.8570934256055356</v>
      </c>
      <c r="AJ93" s="214">
        <f t="shared" si="29"/>
        <v>7.0083333333333329</v>
      </c>
      <c r="AK93" s="180">
        <f t="shared" si="32"/>
        <v>5.6767499999999984</v>
      </c>
      <c r="AL93" s="257"/>
      <c r="AM93" s="257"/>
      <c r="AN93" s="183"/>
      <c r="AO93" s="257"/>
      <c r="AP93" s="184"/>
      <c r="AQ93" s="183"/>
      <c r="AR93" s="184"/>
      <c r="AS93" s="184"/>
      <c r="AT93" s="183"/>
      <c r="AU93" s="184"/>
      <c r="AV93" s="184"/>
      <c r="AW93" s="183"/>
      <c r="AX93" s="184"/>
      <c r="AY93" s="184"/>
      <c r="AZ93" s="183"/>
      <c r="BA93" s="184"/>
      <c r="BB93" s="183"/>
      <c r="BC93" s="184"/>
      <c r="BD93" s="184"/>
      <c r="BE93" s="183"/>
      <c r="BF93" s="184"/>
      <c r="BG93" s="184"/>
      <c r="BH93" s="183"/>
      <c r="BI93" s="184"/>
      <c r="BJ93" s="184"/>
      <c r="BK93" s="183"/>
      <c r="BL93" s="184"/>
      <c r="BM93" s="184"/>
      <c r="BN93" s="183"/>
      <c r="BO93" s="184"/>
      <c r="BP93" s="183"/>
      <c r="BQ93" s="184"/>
      <c r="BR93" s="184"/>
      <c r="BS93" s="183"/>
      <c r="BT93" s="184"/>
      <c r="BU93" s="183"/>
      <c r="BV93" s="184"/>
      <c r="BW93" s="183"/>
      <c r="BX93" s="184"/>
      <c r="BY93" s="183"/>
      <c r="BZ93" s="184"/>
      <c r="CA93" s="183"/>
      <c r="CB93" s="184"/>
      <c r="CC93" s="183"/>
      <c r="CD93" s="184"/>
      <c r="CE93" s="183"/>
      <c r="CF93" s="184"/>
      <c r="CG93" s="183"/>
      <c r="CH93" s="184"/>
      <c r="CI93" s="183"/>
      <c r="CJ93" s="184"/>
      <c r="CK93" s="183"/>
      <c r="CL93" s="184"/>
      <c r="CM93" s="256"/>
    </row>
    <row r="94" spans="1:91" ht="10.5" customHeight="1" thickBot="1">
      <c r="A94" s="179" t="str">
        <f t="shared" si="24"/>
        <v/>
      </c>
      <c r="B94" s="360">
        <v>8.7999999999999995E-2</v>
      </c>
      <c r="C94" s="341"/>
      <c r="D94" s="346"/>
      <c r="E94" s="212"/>
      <c r="F94" s="212"/>
      <c r="G94" s="212"/>
      <c r="H94" s="211"/>
      <c r="I94" s="341"/>
      <c r="J94" s="346"/>
      <c r="K94" s="321"/>
      <c r="L94" s="210"/>
      <c r="M94" s="210"/>
      <c r="N94" s="210"/>
      <c r="O94" s="210"/>
      <c r="P94" s="210"/>
      <c r="Q94" s="328"/>
      <c r="R94" s="210"/>
      <c r="S94" s="209"/>
      <c r="T94" s="207"/>
      <c r="U94" s="209"/>
      <c r="V94" s="207"/>
      <c r="W94" s="226"/>
      <c r="X94" s="206"/>
      <c r="Y94" s="286"/>
      <c r="Z94" s="226"/>
      <c r="AA94" s="361">
        <f t="shared" si="21"/>
        <v>69.060642092746718</v>
      </c>
      <c r="AB94" s="225">
        <f t="shared" si="26"/>
        <v>50.242214532871962</v>
      </c>
      <c r="AC94" s="219">
        <f t="shared" si="33"/>
        <v>32.15501730103805</v>
      </c>
      <c r="AD94" s="353">
        <f t="shared" si="27"/>
        <v>30.693618707887438</v>
      </c>
      <c r="AE94" s="225">
        <f t="shared" si="30"/>
        <v>19.199999999999996</v>
      </c>
      <c r="AF94" s="345">
        <f t="shared" si="31"/>
        <v>13.746745562130174</v>
      </c>
      <c r="AG94" s="219">
        <f t="shared" si="22"/>
        <v>13.746745562130174</v>
      </c>
      <c r="AH94" s="225">
        <f t="shared" si="23"/>
        <v>10.325333333333335</v>
      </c>
      <c r="AI94" s="334">
        <f t="shared" si="28"/>
        <v>8.0387543252595126</v>
      </c>
      <c r="AJ94" s="219">
        <f t="shared" si="29"/>
        <v>7.1703703703703701</v>
      </c>
      <c r="AK94" s="202">
        <f t="shared" si="32"/>
        <v>5.8079999999999989</v>
      </c>
      <c r="AL94" s="255"/>
      <c r="AM94" s="255"/>
      <c r="AN94" s="207"/>
      <c r="AO94" s="255"/>
      <c r="AP94" s="278" t="s">
        <v>3553</v>
      </c>
      <c r="AQ94" s="207"/>
      <c r="AR94" s="206"/>
      <c r="AS94" s="206"/>
      <c r="AT94" s="207"/>
      <c r="AU94" s="206"/>
      <c r="AV94" s="206"/>
      <c r="AW94" s="207"/>
      <c r="AX94" s="206"/>
      <c r="AY94" s="206"/>
      <c r="AZ94" s="207"/>
      <c r="BA94" s="206"/>
      <c r="BB94" s="207"/>
      <c r="BC94" s="206"/>
      <c r="BD94" s="206"/>
      <c r="BE94" s="207"/>
      <c r="BF94" s="206"/>
      <c r="BG94" s="206"/>
      <c r="BH94" s="207"/>
      <c r="BI94" s="206"/>
      <c r="BJ94" s="206"/>
      <c r="BK94" s="207"/>
      <c r="BL94" s="206"/>
      <c r="BM94" s="206"/>
      <c r="BN94" s="207"/>
      <c r="BO94" s="206"/>
      <c r="BP94" s="207"/>
      <c r="BQ94" s="206"/>
      <c r="BR94" s="206"/>
      <c r="BS94" s="207"/>
      <c r="BT94" s="206"/>
      <c r="BU94" s="207"/>
      <c r="BV94" s="206"/>
      <c r="BW94" s="207"/>
      <c r="BX94" s="206"/>
      <c r="BY94" s="207"/>
      <c r="BZ94" s="206"/>
      <c r="CA94" s="207"/>
      <c r="CB94" s="206"/>
      <c r="CC94" s="207"/>
      <c r="CD94" s="206"/>
      <c r="CE94" s="207"/>
      <c r="CF94" s="206"/>
      <c r="CG94" s="207"/>
      <c r="CH94" s="206"/>
      <c r="CI94" s="207"/>
      <c r="CJ94" s="206"/>
      <c r="CK94" s="207"/>
      <c r="CL94" s="206"/>
      <c r="CM94" s="254"/>
    </row>
    <row r="95" spans="1:91" ht="10.5" customHeight="1" thickBot="1">
      <c r="A95" s="179" t="str">
        <f t="shared" si="24"/>
        <v/>
      </c>
      <c r="B95" s="359">
        <v>8.8999999999999996E-2</v>
      </c>
      <c r="C95" s="339"/>
      <c r="D95" s="349"/>
      <c r="E95" s="200"/>
      <c r="F95" s="200"/>
      <c r="G95" s="200"/>
      <c r="H95" s="199"/>
      <c r="I95" s="339"/>
      <c r="J95" s="349"/>
      <c r="K95" s="319"/>
      <c r="L95" s="198"/>
      <c r="M95" s="198"/>
      <c r="N95" s="198"/>
      <c r="O95" s="198"/>
      <c r="P95" s="198"/>
      <c r="Q95" s="325"/>
      <c r="R95" s="198"/>
      <c r="S95" s="197"/>
      <c r="T95" s="194"/>
      <c r="U95" s="197"/>
      <c r="V95" s="194"/>
      <c r="W95" s="224"/>
      <c r="X95" s="195"/>
      <c r="Y95" s="304"/>
      <c r="Z95" s="224"/>
      <c r="AA95" s="244"/>
      <c r="AB95" s="223">
        <f t="shared" si="26"/>
        <v>51.39057093425604</v>
      </c>
      <c r="AC95" s="217">
        <f t="shared" si="33"/>
        <v>32.889965397923866</v>
      </c>
      <c r="AD95" s="352">
        <f t="shared" si="27"/>
        <v>31.395164486722155</v>
      </c>
      <c r="AE95" s="223">
        <f t="shared" si="30"/>
        <v>19.638842975206611</v>
      </c>
      <c r="AF95" s="343">
        <f t="shared" si="31"/>
        <v>14.060946745562125</v>
      </c>
      <c r="AG95" s="217">
        <f t="shared" si="22"/>
        <v>14.060946745562125</v>
      </c>
      <c r="AH95" s="223">
        <f t="shared" si="23"/>
        <v>10.561333333333335</v>
      </c>
      <c r="AI95" s="337">
        <f t="shared" si="28"/>
        <v>8.2224913494809666</v>
      </c>
      <c r="AJ95" s="217">
        <f t="shared" si="29"/>
        <v>7.3342592592592597</v>
      </c>
      <c r="AK95" s="191">
        <f t="shared" si="32"/>
        <v>5.9407499999999986</v>
      </c>
      <c r="AL95" s="259"/>
      <c r="AM95" s="259"/>
      <c r="AN95" s="194"/>
      <c r="AO95" s="259"/>
      <c r="AP95" s="195"/>
      <c r="AQ95" s="194"/>
      <c r="AR95" s="195"/>
      <c r="AS95" s="195"/>
      <c r="AT95" s="194"/>
      <c r="AU95" s="195"/>
      <c r="AV95" s="195"/>
      <c r="AW95" s="194"/>
      <c r="AX95" s="195"/>
      <c r="AY95" s="195"/>
      <c r="AZ95" s="194"/>
      <c r="BA95" s="195"/>
      <c r="BB95" s="194"/>
      <c r="BC95" s="195"/>
      <c r="BD95" s="195"/>
      <c r="BE95" s="194"/>
      <c r="BF95" s="195"/>
      <c r="BG95" s="195"/>
      <c r="BH95" s="194"/>
      <c r="BI95" s="195"/>
      <c r="BJ95" s="195"/>
      <c r="BK95" s="194"/>
      <c r="BL95" s="195"/>
      <c r="BM95" s="195"/>
      <c r="BN95" s="194"/>
      <c r="BO95" s="195"/>
      <c r="BP95" s="194"/>
      <c r="BQ95" s="195"/>
      <c r="BR95" s="195"/>
      <c r="BS95" s="194"/>
      <c r="BT95" s="195"/>
      <c r="BU95" s="194"/>
      <c r="BV95" s="195"/>
      <c r="BW95" s="194"/>
      <c r="BX95" s="195"/>
      <c r="BY95" s="194"/>
      <c r="BZ95" s="195"/>
      <c r="CA95" s="194"/>
      <c r="CB95" s="195"/>
      <c r="CC95" s="194"/>
      <c r="CD95" s="195"/>
      <c r="CE95" s="194"/>
      <c r="CF95" s="195"/>
      <c r="CG95" s="194"/>
      <c r="CH95" s="195"/>
      <c r="CI95" s="194"/>
      <c r="CJ95" s="195"/>
      <c r="CK95" s="194"/>
      <c r="CL95" s="195"/>
      <c r="CM95" s="258"/>
    </row>
    <row r="96" spans="1:91" ht="10.5" customHeight="1">
      <c r="A96" s="179" t="str">
        <f t="shared" si="24"/>
        <v/>
      </c>
      <c r="B96" s="358">
        <v>0.09</v>
      </c>
      <c r="C96" s="336"/>
      <c r="D96" s="347"/>
      <c r="E96" s="323"/>
      <c r="F96" s="189"/>
      <c r="G96" s="189"/>
      <c r="H96" s="188"/>
      <c r="I96" s="336"/>
      <c r="J96" s="335"/>
      <c r="K96" s="323"/>
      <c r="L96" s="187"/>
      <c r="M96" s="187"/>
      <c r="N96" s="187"/>
      <c r="O96" s="187"/>
      <c r="P96" s="187"/>
      <c r="Q96" s="331"/>
      <c r="R96" s="187"/>
      <c r="S96" s="186"/>
      <c r="T96" s="183"/>
      <c r="U96" s="186"/>
      <c r="V96" s="183"/>
      <c r="W96" s="182"/>
      <c r="X96" s="184"/>
      <c r="Y96" s="285"/>
      <c r="Z96" s="182"/>
      <c r="AA96" s="246"/>
      <c r="AB96" s="221">
        <f t="shared" si="26"/>
        <v>52.55190311418685</v>
      </c>
      <c r="AC96" s="214">
        <f t="shared" si="33"/>
        <v>33.633217993079576</v>
      </c>
      <c r="AD96" s="353">
        <f t="shared" si="27"/>
        <v>32.104637336504169</v>
      </c>
      <c r="AE96" s="221">
        <f t="shared" si="30"/>
        <v>20.082644628099171</v>
      </c>
      <c r="AF96" s="345">
        <f t="shared" si="31"/>
        <v>14.378698224852069</v>
      </c>
      <c r="AG96" s="214">
        <f t="shared" si="22"/>
        <v>14.378698224852069</v>
      </c>
      <c r="AH96" s="221">
        <f t="shared" si="23"/>
        <v>10.799999999999999</v>
      </c>
      <c r="AI96" s="334">
        <f t="shared" si="28"/>
        <v>8.408304498269894</v>
      </c>
      <c r="AJ96" s="214">
        <f t="shared" si="29"/>
        <v>7.5</v>
      </c>
      <c r="AK96" s="180">
        <f t="shared" si="32"/>
        <v>6.0749999999999984</v>
      </c>
      <c r="AL96" s="257"/>
      <c r="AM96" s="257"/>
      <c r="AN96" s="183"/>
      <c r="AO96" s="257"/>
      <c r="AP96" s="184"/>
      <c r="AQ96" s="183"/>
      <c r="AR96" s="184"/>
      <c r="AS96" s="184"/>
      <c r="AT96" s="183"/>
      <c r="AU96" s="184"/>
      <c r="AV96" s="184"/>
      <c r="AW96" s="183"/>
      <c r="AX96" s="184"/>
      <c r="AY96" s="184"/>
      <c r="AZ96" s="183"/>
      <c r="BA96" s="184"/>
      <c r="BB96" s="183"/>
      <c r="BC96" s="184"/>
      <c r="BD96" s="184"/>
      <c r="BE96" s="183"/>
      <c r="BF96" s="184"/>
      <c r="BG96" s="184"/>
      <c r="BH96" s="183"/>
      <c r="BI96" s="184"/>
      <c r="BJ96" s="184"/>
      <c r="BK96" s="183"/>
      <c r="BL96" s="184"/>
      <c r="BM96" s="184"/>
      <c r="BN96" s="183"/>
      <c r="BO96" s="184"/>
      <c r="BP96" s="183"/>
      <c r="BQ96" s="184"/>
      <c r="BR96" s="184"/>
      <c r="BS96" s="183"/>
      <c r="BT96" s="184"/>
      <c r="BU96" s="183"/>
      <c r="BV96" s="184"/>
      <c r="BW96" s="183"/>
      <c r="BX96" s="184"/>
      <c r="BY96" s="183"/>
      <c r="BZ96" s="184"/>
      <c r="CA96" s="183"/>
      <c r="CB96" s="184"/>
      <c r="CC96" s="183"/>
      <c r="CD96" s="184"/>
      <c r="CE96" s="183"/>
      <c r="CF96" s="184"/>
      <c r="CG96" s="183"/>
      <c r="CH96" s="184"/>
      <c r="CI96" s="183"/>
      <c r="CJ96" s="184"/>
      <c r="CK96" s="183"/>
      <c r="CL96" s="184"/>
      <c r="CM96" s="256"/>
    </row>
    <row r="97" spans="1:91" ht="10.5" customHeight="1" thickBot="1">
      <c r="A97" s="179" t="str">
        <f t="shared" si="24"/>
        <v/>
      </c>
      <c r="B97" s="358">
        <v>9.0999999999999998E-2</v>
      </c>
      <c r="C97" s="336"/>
      <c r="D97" s="347"/>
      <c r="E97" s="323"/>
      <c r="F97" s="189"/>
      <c r="G97" s="189"/>
      <c r="H97" s="188"/>
      <c r="I97" s="336"/>
      <c r="J97" s="335"/>
      <c r="K97" s="323"/>
      <c r="L97" s="187"/>
      <c r="M97" s="187"/>
      <c r="N97" s="187"/>
      <c r="O97" s="187"/>
      <c r="P97" s="187"/>
      <c r="Q97" s="331"/>
      <c r="R97" s="187"/>
      <c r="S97" s="186"/>
      <c r="T97" s="183"/>
      <c r="U97" s="186"/>
      <c r="V97" s="183"/>
      <c r="W97" s="182"/>
      <c r="X97" s="184"/>
      <c r="Y97" s="285"/>
      <c r="Z97" s="182"/>
      <c r="AA97" s="246"/>
      <c r="AB97" s="221">
        <f t="shared" si="26"/>
        <v>53.726211072664348</v>
      </c>
      <c r="AC97" s="214">
        <f t="shared" si="33"/>
        <v>34.384775086505186</v>
      </c>
      <c r="AD97" s="352">
        <f t="shared" si="27"/>
        <v>32.822037257233447</v>
      </c>
      <c r="AE97" s="221">
        <f t="shared" si="30"/>
        <v>20.531404958677683</v>
      </c>
      <c r="AF97" s="343">
        <f t="shared" si="31"/>
        <v>14.699999999999998</v>
      </c>
      <c r="AG97" s="214">
        <f t="shared" si="22"/>
        <v>14.699999999999998</v>
      </c>
      <c r="AH97" s="221">
        <f t="shared" si="23"/>
        <v>11.041333333333334</v>
      </c>
      <c r="AI97" s="337">
        <f t="shared" si="28"/>
        <v>8.5961937716262966</v>
      </c>
      <c r="AJ97" s="214">
        <f t="shared" si="29"/>
        <v>7.667592592592591</v>
      </c>
      <c r="AK97" s="180">
        <f t="shared" si="32"/>
        <v>6.2107499999999991</v>
      </c>
      <c r="AL97" s="257"/>
      <c r="AM97" s="257"/>
      <c r="AN97" s="183"/>
      <c r="AO97" s="257"/>
      <c r="AP97" s="184"/>
      <c r="AQ97" s="183"/>
      <c r="AR97" s="184"/>
      <c r="AS97" s="184"/>
      <c r="AT97" s="183"/>
      <c r="AU97" s="184"/>
      <c r="AV97" s="184"/>
      <c r="AW97" s="183"/>
      <c r="AX97" s="184"/>
      <c r="AY97" s="184"/>
      <c r="AZ97" s="183"/>
      <c r="BA97" s="184"/>
      <c r="BB97" s="183"/>
      <c r="BC97" s="184"/>
      <c r="BD97" s="184"/>
      <c r="BE97" s="183"/>
      <c r="BF97" s="184"/>
      <c r="BG97" s="184"/>
      <c r="BH97" s="183"/>
      <c r="BI97" s="184"/>
      <c r="BJ97" s="184"/>
      <c r="BK97" s="183"/>
      <c r="BL97" s="184"/>
      <c r="BM97" s="184"/>
      <c r="BN97" s="183"/>
      <c r="BO97" s="184"/>
      <c r="BP97" s="183"/>
      <c r="BQ97" s="184"/>
      <c r="BR97" s="184"/>
      <c r="BS97" s="183"/>
      <c r="BT97" s="184"/>
      <c r="BU97" s="183"/>
      <c r="BV97" s="184"/>
      <c r="BW97" s="183"/>
      <c r="BX97" s="184"/>
      <c r="BY97" s="183"/>
      <c r="BZ97" s="184"/>
      <c r="CA97" s="183"/>
      <c r="CB97" s="184"/>
      <c r="CC97" s="183"/>
      <c r="CD97" s="184"/>
      <c r="CE97" s="183"/>
      <c r="CF97" s="184"/>
      <c r="CG97" s="183"/>
      <c r="CH97" s="184"/>
      <c r="CI97" s="183"/>
      <c r="CJ97" s="184"/>
      <c r="CK97" s="183"/>
      <c r="CL97" s="184"/>
      <c r="CM97" s="256"/>
    </row>
    <row r="98" spans="1:91" ht="10.5" customHeight="1">
      <c r="A98" s="179" t="str">
        <f t="shared" si="24"/>
        <v/>
      </c>
      <c r="B98" s="360">
        <v>9.1999999999999998E-2</v>
      </c>
      <c r="C98" s="341"/>
      <c r="D98" s="346"/>
      <c r="E98" s="321"/>
      <c r="F98" s="212"/>
      <c r="G98" s="212"/>
      <c r="H98" s="211"/>
      <c r="I98" s="341"/>
      <c r="J98" s="340"/>
      <c r="K98" s="321"/>
      <c r="L98" s="210"/>
      <c r="M98" s="210"/>
      <c r="N98" s="210"/>
      <c r="O98" s="210"/>
      <c r="P98" s="210"/>
      <c r="Q98" s="328"/>
      <c r="R98" s="210"/>
      <c r="S98" s="209"/>
      <c r="T98" s="207"/>
      <c r="U98" s="209"/>
      <c r="V98" s="207"/>
      <c r="W98" s="226"/>
      <c r="X98" s="206"/>
      <c r="Y98" s="286"/>
      <c r="Z98" s="226"/>
      <c r="AA98" s="356"/>
      <c r="AB98" s="225">
        <f t="shared" si="26"/>
        <v>54.913494809688572</v>
      </c>
      <c r="AC98" s="219">
        <f t="shared" si="33"/>
        <v>35.144636678200683</v>
      </c>
      <c r="AD98" s="353">
        <f t="shared" si="27"/>
        <v>33.547364248910029</v>
      </c>
      <c r="AE98" s="225">
        <f t="shared" si="30"/>
        <v>20.985123966942144</v>
      </c>
      <c r="AF98" s="345">
        <f t="shared" si="31"/>
        <v>15.024852071005913</v>
      </c>
      <c r="AG98" s="219">
        <f t="shared" si="22"/>
        <v>15.024852071005913</v>
      </c>
      <c r="AH98" s="225">
        <f t="shared" si="23"/>
        <v>11.285333333333336</v>
      </c>
      <c r="AI98" s="334">
        <f t="shared" si="28"/>
        <v>8.7861591695501708</v>
      </c>
      <c r="AJ98" s="219">
        <f t="shared" si="29"/>
        <v>7.8370370370370352</v>
      </c>
      <c r="AK98" s="202">
        <f t="shared" si="32"/>
        <v>6.347999999999999</v>
      </c>
      <c r="AL98" s="255"/>
      <c r="AM98" s="255"/>
      <c r="AN98" s="207"/>
      <c r="AO98" s="255"/>
      <c r="AP98" s="206"/>
      <c r="AQ98" s="207"/>
      <c r="AR98" s="206"/>
      <c r="AS98" s="206"/>
      <c r="AT98" s="207"/>
      <c r="AU98" s="206"/>
      <c r="AV98" s="206"/>
      <c r="AW98" s="207"/>
      <c r="AX98" s="206"/>
      <c r="AY98" s="206"/>
      <c r="AZ98" s="207"/>
      <c r="BA98" s="206"/>
      <c r="BB98" s="207"/>
      <c r="BC98" s="206"/>
      <c r="BD98" s="206"/>
      <c r="BE98" s="207"/>
      <c r="BF98" s="206"/>
      <c r="BG98" s="206"/>
      <c r="BH98" s="207"/>
      <c r="BI98" s="206"/>
      <c r="BJ98" s="206"/>
      <c r="BK98" s="207"/>
      <c r="BL98" s="206"/>
      <c r="BM98" s="206"/>
      <c r="BN98" s="207"/>
      <c r="BO98" s="206"/>
      <c r="BP98" s="207"/>
      <c r="BQ98" s="206"/>
      <c r="BR98" s="206"/>
      <c r="BS98" s="207"/>
      <c r="BT98" s="206"/>
      <c r="BU98" s="207"/>
      <c r="BV98" s="206"/>
      <c r="BW98" s="207"/>
      <c r="BX98" s="206"/>
      <c r="BY98" s="207"/>
      <c r="BZ98" s="206"/>
      <c r="CA98" s="207"/>
      <c r="CB98" s="206"/>
      <c r="CC98" s="207"/>
      <c r="CD98" s="206"/>
      <c r="CE98" s="207"/>
      <c r="CF98" s="206"/>
      <c r="CG98" s="207"/>
      <c r="CH98" s="206"/>
      <c r="CI98" s="207"/>
      <c r="CJ98" s="206"/>
      <c r="CK98" s="207"/>
      <c r="CL98" s="206"/>
      <c r="CM98" s="254"/>
    </row>
    <row r="99" spans="1:91" ht="10.5" customHeight="1" thickBot="1">
      <c r="A99" s="179" t="str">
        <f t="shared" si="24"/>
        <v/>
      </c>
      <c r="B99" s="359">
        <v>9.2999999999999999E-2</v>
      </c>
      <c r="C99" s="339"/>
      <c r="D99" s="349"/>
      <c r="E99" s="319"/>
      <c r="F99" s="200"/>
      <c r="G99" s="200"/>
      <c r="H99" s="199"/>
      <c r="I99" s="339"/>
      <c r="J99" s="338"/>
      <c r="K99" s="319"/>
      <c r="L99" s="198"/>
      <c r="M99" s="198"/>
      <c r="N99" s="198"/>
      <c r="O99" s="198"/>
      <c r="P99" s="198"/>
      <c r="Q99" s="325"/>
      <c r="R99" s="198"/>
      <c r="S99" s="197"/>
      <c r="T99" s="194"/>
      <c r="U99" s="197"/>
      <c r="V99" s="194"/>
      <c r="W99" s="195"/>
      <c r="X99" s="195"/>
      <c r="Y99" s="194"/>
      <c r="Z99" s="224"/>
      <c r="AA99" s="244"/>
      <c r="AB99" s="223">
        <f t="shared" si="26"/>
        <v>56.113754325259499</v>
      </c>
      <c r="AC99" s="217">
        <f t="shared" si="33"/>
        <v>35.912802768166081</v>
      </c>
      <c r="AD99" s="352">
        <f t="shared" si="27"/>
        <v>34.280618311533892</v>
      </c>
      <c r="AE99" s="223">
        <f t="shared" si="30"/>
        <v>21.44380165289256</v>
      </c>
      <c r="AF99" s="343">
        <f t="shared" si="31"/>
        <v>15.353254437869824</v>
      </c>
      <c r="AG99" s="217">
        <f t="shared" si="22"/>
        <v>15.353254437869824</v>
      </c>
      <c r="AH99" s="223">
        <f t="shared" si="23"/>
        <v>11.532</v>
      </c>
      <c r="AI99" s="337">
        <f t="shared" si="28"/>
        <v>8.9782006920415203</v>
      </c>
      <c r="AJ99" s="217">
        <f t="shared" si="29"/>
        <v>8.0083333333333346</v>
      </c>
      <c r="AK99" s="191">
        <f t="shared" si="32"/>
        <v>6.4867499999999989</v>
      </c>
      <c r="AL99" s="259"/>
      <c r="AM99" s="259"/>
      <c r="AN99" s="194"/>
      <c r="AO99" s="259"/>
      <c r="AP99" s="195"/>
      <c r="AQ99" s="194"/>
      <c r="AR99" s="195"/>
      <c r="AS99" s="195"/>
      <c r="AT99" s="194"/>
      <c r="AU99" s="195"/>
      <c r="AV99" s="195"/>
      <c r="AW99" s="194"/>
      <c r="AX99" s="195"/>
      <c r="AY99" s="195"/>
      <c r="AZ99" s="194"/>
      <c r="BA99" s="195"/>
      <c r="BB99" s="194"/>
      <c r="BC99" s="195"/>
      <c r="BD99" s="195"/>
      <c r="BE99" s="194"/>
      <c r="BF99" s="195"/>
      <c r="BG99" s="195"/>
      <c r="BH99" s="194"/>
      <c r="BI99" s="195"/>
      <c r="BJ99" s="195"/>
      <c r="BK99" s="194"/>
      <c r="BL99" s="195"/>
      <c r="BM99" s="195"/>
      <c r="BN99" s="194"/>
      <c r="BO99" s="195"/>
      <c r="BP99" s="194"/>
      <c r="BQ99" s="195"/>
      <c r="BR99" s="195"/>
      <c r="BS99" s="194"/>
      <c r="BT99" s="195"/>
      <c r="BU99" s="194"/>
      <c r="BV99" s="195"/>
      <c r="BW99" s="194"/>
      <c r="BX99" s="195"/>
      <c r="BY99" s="194"/>
      <c r="BZ99" s="195"/>
      <c r="CA99" s="194"/>
      <c r="CB99" s="195"/>
      <c r="CC99" s="194"/>
      <c r="CD99" s="195"/>
      <c r="CE99" s="194"/>
      <c r="CF99" s="195"/>
      <c r="CG99" s="194"/>
      <c r="CH99" s="195"/>
      <c r="CI99" s="194"/>
      <c r="CJ99" s="195"/>
      <c r="CK99" s="194"/>
      <c r="CL99" s="195"/>
      <c r="CM99" s="258"/>
    </row>
    <row r="100" spans="1:91" ht="10.5" customHeight="1">
      <c r="A100" s="179" t="str">
        <f t="shared" si="24"/>
        <v/>
      </c>
      <c r="B100" s="358">
        <v>9.4E-2</v>
      </c>
      <c r="C100" s="336"/>
      <c r="D100" s="347"/>
      <c r="E100" s="323"/>
      <c r="F100" s="189"/>
      <c r="G100" s="189"/>
      <c r="H100" s="188"/>
      <c r="I100" s="336"/>
      <c r="J100" s="335"/>
      <c r="K100" s="323"/>
      <c r="L100" s="187"/>
      <c r="M100" s="187"/>
      <c r="N100" s="187"/>
      <c r="O100" s="187"/>
      <c r="P100" s="187"/>
      <c r="Q100" s="331"/>
      <c r="R100" s="187"/>
      <c r="S100" s="186"/>
      <c r="T100" s="183"/>
      <c r="U100" s="186"/>
      <c r="V100" s="183"/>
      <c r="W100" s="184"/>
      <c r="X100" s="184"/>
      <c r="Y100" s="183"/>
      <c r="Z100" s="182"/>
      <c r="AA100" s="246"/>
      <c r="AB100" s="221">
        <f t="shared" si="26"/>
        <v>57.326989619377159</v>
      </c>
      <c r="AC100" s="214">
        <f t="shared" si="33"/>
        <v>36.689273356401372</v>
      </c>
      <c r="AD100" s="353">
        <f t="shared" si="27"/>
        <v>35.021799445105032</v>
      </c>
      <c r="AE100" s="221">
        <f t="shared" si="30"/>
        <v>21.907438016528921</v>
      </c>
      <c r="AF100" s="345">
        <f t="shared" si="31"/>
        <v>15.685207100591715</v>
      </c>
      <c r="AG100" s="214">
        <f t="shared" si="22"/>
        <v>15.685207100591715</v>
      </c>
      <c r="AH100" s="221">
        <f t="shared" si="23"/>
        <v>11.781333333333336</v>
      </c>
      <c r="AI100" s="334">
        <f t="shared" si="28"/>
        <v>9.1723183391003431</v>
      </c>
      <c r="AJ100" s="214">
        <f t="shared" si="29"/>
        <v>8.1814814814814838</v>
      </c>
      <c r="AK100" s="180">
        <f t="shared" si="32"/>
        <v>6.6269999999999998</v>
      </c>
      <c r="AL100" s="332">
        <f xml:space="preserve"> 30*(B100/B$118)^2</f>
        <v>5.4768595041322303</v>
      </c>
      <c r="AM100" s="257"/>
      <c r="AN100" s="183"/>
      <c r="AO100" s="257"/>
      <c r="AP100" s="184"/>
      <c r="AQ100" s="183"/>
      <c r="AR100" s="184"/>
      <c r="AS100" s="184"/>
      <c r="AT100" s="183"/>
      <c r="AU100" s="184"/>
      <c r="AV100" s="184"/>
      <c r="AW100" s="183"/>
      <c r="AX100" s="184"/>
      <c r="AY100" s="184"/>
      <c r="AZ100" s="183"/>
      <c r="BA100" s="184"/>
      <c r="BB100" s="183"/>
      <c r="BC100" s="184"/>
      <c r="BD100" s="184"/>
      <c r="BE100" s="183"/>
      <c r="BF100" s="184"/>
      <c r="BG100" s="184"/>
      <c r="BH100" s="183"/>
      <c r="BI100" s="184"/>
      <c r="BJ100" s="184"/>
      <c r="BK100" s="183"/>
      <c r="BL100" s="184"/>
      <c r="BM100" s="184"/>
      <c r="BN100" s="183"/>
      <c r="BO100" s="184"/>
      <c r="BP100" s="183"/>
      <c r="BQ100" s="184"/>
      <c r="BR100" s="184"/>
      <c r="BS100" s="183"/>
      <c r="BT100" s="184"/>
      <c r="BU100" s="183"/>
      <c r="BV100" s="184"/>
      <c r="BW100" s="183"/>
      <c r="BX100" s="184"/>
      <c r="BY100" s="183"/>
      <c r="BZ100" s="184"/>
      <c r="CA100" s="183"/>
      <c r="CB100" s="184"/>
      <c r="CC100" s="183"/>
      <c r="CD100" s="184"/>
      <c r="CE100" s="183"/>
      <c r="CF100" s="184"/>
      <c r="CG100" s="183"/>
      <c r="CH100" s="184"/>
      <c r="CI100" s="183"/>
      <c r="CJ100" s="184"/>
      <c r="CK100" s="183"/>
      <c r="CL100" s="184"/>
      <c r="CM100" s="256"/>
    </row>
    <row r="101" spans="1:91" ht="10.5" customHeight="1" thickBot="1">
      <c r="A101" s="179" t="str">
        <f t="shared" si="24"/>
        <v/>
      </c>
      <c r="B101" s="358">
        <v>9.5000000000000001E-2</v>
      </c>
      <c r="C101" s="336"/>
      <c r="D101" s="347"/>
      <c r="E101" s="323"/>
      <c r="F101" s="189"/>
      <c r="G101" s="189"/>
      <c r="H101" s="188"/>
      <c r="I101" s="336"/>
      <c r="J101" s="335"/>
      <c r="K101" s="323"/>
      <c r="L101" s="187"/>
      <c r="M101" s="187"/>
      <c r="N101" s="187"/>
      <c r="O101" s="187"/>
      <c r="P101" s="187"/>
      <c r="Q101" s="331"/>
      <c r="R101" s="187"/>
      <c r="S101" s="186"/>
      <c r="T101" s="183"/>
      <c r="U101" s="186"/>
      <c r="V101" s="183"/>
      <c r="W101" s="184"/>
      <c r="X101" s="184"/>
      <c r="Y101" s="183"/>
      <c r="Z101" s="182"/>
      <c r="AA101" s="246"/>
      <c r="AB101" s="221">
        <f t="shared" si="26"/>
        <v>58.553200692041521</v>
      </c>
      <c r="AC101" s="214">
        <f t="shared" si="33"/>
        <v>37.474048442906579</v>
      </c>
      <c r="AD101" s="352">
        <f t="shared" si="27"/>
        <v>35.770907649623474</v>
      </c>
      <c r="AE101" s="221">
        <f t="shared" si="30"/>
        <v>22.376033057851242</v>
      </c>
      <c r="AF101" s="343">
        <f t="shared" si="31"/>
        <v>16.020710059171595</v>
      </c>
      <c r="AG101" s="214">
        <f t="shared" si="22"/>
        <v>16.020710059171595</v>
      </c>
      <c r="AH101" s="221">
        <f t="shared" si="23"/>
        <v>12.033333333333335</v>
      </c>
      <c r="AI101" s="337">
        <f t="shared" si="28"/>
        <v>9.3685121107266447</v>
      </c>
      <c r="AJ101" s="214">
        <f t="shared" si="29"/>
        <v>8.3564814814814827</v>
      </c>
      <c r="AK101" s="180">
        <f t="shared" si="32"/>
        <v>6.7687499999999998</v>
      </c>
      <c r="AL101" s="330">
        <f xml:space="preserve"> 30*(B101/B$119)^2</f>
        <v>5.1181474480151223</v>
      </c>
      <c r="AM101" s="257"/>
      <c r="AN101" s="183"/>
      <c r="AO101" s="257"/>
      <c r="AP101" s="184"/>
      <c r="AQ101" s="183"/>
      <c r="AR101" s="184"/>
      <c r="AS101" s="184"/>
      <c r="AT101" s="183"/>
      <c r="AU101" s="184"/>
      <c r="AV101" s="184"/>
      <c r="AW101" s="183"/>
      <c r="AX101" s="184"/>
      <c r="AY101" s="184"/>
      <c r="AZ101" s="183"/>
      <c r="BA101" s="184"/>
      <c r="BB101" s="183"/>
      <c r="BC101" s="184"/>
      <c r="BD101" s="184"/>
      <c r="BE101" s="183"/>
      <c r="BF101" s="184"/>
      <c r="BG101" s="184"/>
      <c r="BH101" s="183"/>
      <c r="BI101" s="184"/>
      <c r="BJ101" s="184"/>
      <c r="BK101" s="183"/>
      <c r="BL101" s="184"/>
      <c r="BM101" s="184"/>
      <c r="BN101" s="183"/>
      <c r="BO101" s="184"/>
      <c r="BP101" s="183"/>
      <c r="BQ101" s="184"/>
      <c r="BR101" s="184"/>
      <c r="BS101" s="183"/>
      <c r="BT101" s="184"/>
      <c r="BU101" s="183"/>
      <c r="BV101" s="184"/>
      <c r="BW101" s="183"/>
      <c r="BX101" s="184"/>
      <c r="BY101" s="183"/>
      <c r="BZ101" s="184"/>
      <c r="CA101" s="183"/>
      <c r="CB101" s="184"/>
      <c r="CC101" s="183"/>
      <c r="CD101" s="184"/>
      <c r="CE101" s="183"/>
      <c r="CF101" s="184"/>
      <c r="CG101" s="183"/>
      <c r="CH101" s="184"/>
      <c r="CI101" s="183"/>
      <c r="CJ101" s="184"/>
      <c r="CK101" s="183"/>
      <c r="CL101" s="184"/>
      <c r="CM101" s="256"/>
    </row>
    <row r="102" spans="1:91" ht="10.5" customHeight="1">
      <c r="A102" s="179" t="str">
        <f t="shared" si="24"/>
        <v/>
      </c>
      <c r="B102" s="360">
        <v>9.6000000000000002E-2</v>
      </c>
      <c r="C102" s="341"/>
      <c r="D102" s="346"/>
      <c r="E102" s="321"/>
      <c r="F102" s="212"/>
      <c r="G102" s="212"/>
      <c r="H102" s="211"/>
      <c r="I102" s="341"/>
      <c r="J102" s="340"/>
      <c r="K102" s="321"/>
      <c r="L102" s="210"/>
      <c r="M102" s="210"/>
      <c r="N102" s="210"/>
      <c r="O102" s="210"/>
      <c r="P102" s="210"/>
      <c r="Q102" s="328"/>
      <c r="R102" s="210"/>
      <c r="S102" s="209"/>
      <c r="T102" s="207"/>
      <c r="U102" s="209"/>
      <c r="V102" s="207"/>
      <c r="W102" s="206"/>
      <c r="X102" s="206"/>
      <c r="Y102" s="207"/>
      <c r="Z102" s="226"/>
      <c r="AA102" s="356"/>
      <c r="AB102" s="225">
        <f t="shared" si="26"/>
        <v>59.792387543252588</v>
      </c>
      <c r="AC102" s="219">
        <f t="shared" si="33"/>
        <v>38.267128027681657</v>
      </c>
      <c r="AD102" s="353">
        <f t="shared" si="27"/>
        <v>36.527942925089199</v>
      </c>
      <c r="AE102" s="225">
        <f t="shared" si="30"/>
        <v>22.849586776859507</v>
      </c>
      <c r="AF102" s="345">
        <f t="shared" si="31"/>
        <v>16.35976331360947</v>
      </c>
      <c r="AG102" s="219">
        <f t="shared" si="22"/>
        <v>16.35976331360947</v>
      </c>
      <c r="AH102" s="225">
        <f t="shared" si="23"/>
        <v>12.288</v>
      </c>
      <c r="AI102" s="334">
        <f t="shared" si="28"/>
        <v>9.5667820069204144</v>
      </c>
      <c r="AJ102" s="219">
        <f t="shared" si="29"/>
        <v>8.5333333333333332</v>
      </c>
      <c r="AK102" s="202">
        <f t="shared" si="32"/>
        <v>6.9119999999999999</v>
      </c>
      <c r="AL102" s="332">
        <f xml:space="preserve"> 30*(B102/B$118)^2</f>
        <v>5.7123966942148767</v>
      </c>
      <c r="AM102" s="255"/>
      <c r="AN102" s="207"/>
      <c r="AO102" s="206"/>
      <c r="AP102" s="206"/>
      <c r="AQ102" s="207"/>
      <c r="AR102" s="206"/>
      <c r="AS102" s="206"/>
      <c r="AT102" s="207"/>
      <c r="AU102" s="206"/>
      <c r="AV102" s="206"/>
      <c r="AW102" s="207"/>
      <c r="AX102" s="206"/>
      <c r="AY102" s="206"/>
      <c r="AZ102" s="207"/>
      <c r="BA102" s="206"/>
      <c r="BB102" s="207"/>
      <c r="BC102" s="206"/>
      <c r="BD102" s="206"/>
      <c r="BE102" s="207"/>
      <c r="BF102" s="206"/>
      <c r="BG102" s="206"/>
      <c r="BH102" s="207"/>
      <c r="BI102" s="206"/>
      <c r="BJ102" s="206"/>
      <c r="BK102" s="207"/>
      <c r="BL102" s="206"/>
      <c r="BM102" s="206"/>
      <c r="BN102" s="207"/>
      <c r="BO102" s="206"/>
      <c r="BP102" s="207"/>
      <c r="BQ102" s="206"/>
      <c r="BR102" s="206"/>
      <c r="BS102" s="207"/>
      <c r="BT102" s="206"/>
      <c r="BU102" s="207"/>
      <c r="BV102" s="206"/>
      <c r="BW102" s="207"/>
      <c r="BX102" s="206"/>
      <c r="BY102" s="207"/>
      <c r="BZ102" s="206"/>
      <c r="CA102" s="207"/>
      <c r="CB102" s="206"/>
      <c r="CC102" s="207"/>
      <c r="CD102" s="206"/>
      <c r="CE102" s="207"/>
      <c r="CF102" s="206"/>
      <c r="CG102" s="207"/>
      <c r="CH102" s="206"/>
      <c r="CI102" s="207"/>
      <c r="CJ102" s="206"/>
      <c r="CK102" s="207"/>
      <c r="CL102" s="206"/>
      <c r="CM102" s="254"/>
    </row>
    <row r="103" spans="1:91" ht="10.5" customHeight="1" thickBot="1">
      <c r="A103" s="179" t="str">
        <f t="shared" si="24"/>
        <v/>
      </c>
      <c r="B103" s="359">
        <v>9.7000000000000003E-2</v>
      </c>
      <c r="C103" s="339"/>
      <c r="D103" s="349"/>
      <c r="E103" s="319"/>
      <c r="F103" s="200"/>
      <c r="G103" s="200"/>
      <c r="H103" s="199"/>
      <c r="I103" s="339"/>
      <c r="J103" s="338"/>
      <c r="K103" s="319"/>
      <c r="L103" s="198"/>
      <c r="M103" s="198"/>
      <c r="N103" s="198"/>
      <c r="O103" s="198"/>
      <c r="P103" s="198"/>
      <c r="Q103" s="325"/>
      <c r="R103" s="198"/>
      <c r="S103" s="197"/>
      <c r="T103" s="194"/>
      <c r="U103" s="197"/>
      <c r="V103" s="194"/>
      <c r="W103" s="195"/>
      <c r="X103" s="195"/>
      <c r="Y103" s="194"/>
      <c r="Z103" s="224"/>
      <c r="AA103" s="244"/>
      <c r="AB103" s="223">
        <f t="shared" si="26"/>
        <v>61.044550173010379</v>
      </c>
      <c r="AC103" s="217">
        <f t="shared" si="33"/>
        <v>39.068512110726637</v>
      </c>
      <c r="AD103" s="352">
        <f t="shared" si="27"/>
        <v>37.292905271502185</v>
      </c>
      <c r="AE103" s="223">
        <f t="shared" si="30"/>
        <v>23.328099173553721</v>
      </c>
      <c r="AF103" s="343">
        <f t="shared" si="31"/>
        <v>16.702366863905326</v>
      </c>
      <c r="AG103" s="217">
        <f t="shared" si="22"/>
        <v>16.702366863905326</v>
      </c>
      <c r="AH103" s="223">
        <f t="shared" si="23"/>
        <v>12.545333333333335</v>
      </c>
      <c r="AI103" s="337">
        <f t="shared" si="28"/>
        <v>9.7671280276816592</v>
      </c>
      <c r="AJ103" s="217">
        <f t="shared" si="29"/>
        <v>8.7120370370370406</v>
      </c>
      <c r="AK103" s="191">
        <f t="shared" si="32"/>
        <v>7.0567500000000001</v>
      </c>
      <c r="AL103" s="330">
        <f xml:space="preserve"> 30*(B103/B$119)^2</f>
        <v>5.3359168241965982</v>
      </c>
      <c r="AM103" s="257"/>
      <c r="AN103" s="194"/>
      <c r="AO103" s="195"/>
      <c r="AP103" s="195"/>
      <c r="AQ103" s="194"/>
      <c r="AR103" s="195"/>
      <c r="AS103" s="195"/>
      <c r="AT103" s="194"/>
      <c r="AU103" s="195"/>
      <c r="AV103" s="195"/>
      <c r="AW103" s="194"/>
      <c r="AX103" s="195"/>
      <c r="AY103" s="195"/>
      <c r="AZ103" s="194"/>
      <c r="BA103" s="195"/>
      <c r="BB103" s="194"/>
      <c r="BC103" s="195"/>
      <c r="BD103" s="195"/>
      <c r="BE103" s="194"/>
      <c r="BF103" s="195"/>
      <c r="BG103" s="195"/>
      <c r="BH103" s="194"/>
      <c r="BI103" s="195"/>
      <c r="BJ103" s="195"/>
      <c r="BK103" s="194"/>
      <c r="BL103" s="195"/>
      <c r="BM103" s="195"/>
      <c r="BN103" s="194"/>
      <c r="BO103" s="195"/>
      <c r="BP103" s="194"/>
      <c r="BQ103" s="195"/>
      <c r="BR103" s="195"/>
      <c r="BS103" s="194"/>
      <c r="BT103" s="195"/>
      <c r="BU103" s="194"/>
      <c r="BV103" s="195"/>
      <c r="BW103" s="194"/>
      <c r="BX103" s="195"/>
      <c r="BY103" s="194"/>
      <c r="BZ103" s="195"/>
      <c r="CA103" s="194"/>
      <c r="CB103" s="195"/>
      <c r="CC103" s="194"/>
      <c r="CD103" s="195"/>
      <c r="CE103" s="194"/>
      <c r="CF103" s="195"/>
      <c r="CG103" s="194"/>
      <c r="CH103" s="195"/>
      <c r="CI103" s="194"/>
      <c r="CJ103" s="195"/>
      <c r="CK103" s="194"/>
      <c r="CL103" s="195"/>
      <c r="CM103" s="258"/>
    </row>
    <row r="104" spans="1:91" ht="10.5" customHeight="1">
      <c r="A104" s="179" t="str">
        <f t="shared" si="24"/>
        <v/>
      </c>
      <c r="B104" s="358">
        <v>9.8000000000000004E-2</v>
      </c>
      <c r="C104" s="336"/>
      <c r="D104" s="347"/>
      <c r="E104" s="323"/>
      <c r="F104" s="189"/>
      <c r="G104" s="189"/>
      <c r="H104" s="188"/>
      <c r="I104" s="336"/>
      <c r="J104" s="335"/>
      <c r="K104" s="323"/>
      <c r="L104" s="187"/>
      <c r="M104" s="187"/>
      <c r="N104" s="187"/>
      <c r="O104" s="187"/>
      <c r="P104" s="187"/>
      <c r="Q104" s="331"/>
      <c r="R104" s="187"/>
      <c r="S104" s="186"/>
      <c r="T104" s="183"/>
      <c r="U104" s="186"/>
      <c r="V104" s="183"/>
      <c r="W104" s="184"/>
      <c r="X104" s="184"/>
      <c r="Y104" s="183"/>
      <c r="Z104" s="182"/>
      <c r="AA104" s="246"/>
      <c r="AB104" s="221">
        <f t="shared" si="26"/>
        <v>62.30968858131488</v>
      </c>
      <c r="AC104" s="214">
        <f t="shared" si="33"/>
        <v>39.878200692041517</v>
      </c>
      <c r="AD104" s="353">
        <f t="shared" si="27"/>
        <v>38.065794688862482</v>
      </c>
      <c r="AE104" s="221">
        <f t="shared" si="30"/>
        <v>23.81157024793389</v>
      </c>
      <c r="AF104" s="345">
        <f t="shared" si="31"/>
        <v>17.048520710059172</v>
      </c>
      <c r="AG104" s="214">
        <f t="shared" si="22"/>
        <v>17.048520710059172</v>
      </c>
      <c r="AH104" s="221">
        <f t="shared" si="23"/>
        <v>12.805333333333337</v>
      </c>
      <c r="AI104" s="334">
        <f t="shared" si="28"/>
        <v>9.9695501730103793</v>
      </c>
      <c r="AJ104" s="214">
        <f t="shared" si="29"/>
        <v>8.8925925925925942</v>
      </c>
      <c r="AK104" s="221">
        <f t="shared" si="32"/>
        <v>7.2029999999999994</v>
      </c>
      <c r="AL104" s="332">
        <f xml:space="preserve"> 30*(B104/B$118)^2</f>
        <v>5.9528925619834725</v>
      </c>
      <c r="AM104" s="271">
        <f t="shared" ref="AM104:AM118" si="34" xml:space="preserve"> 30*(B104/B$119)^2</f>
        <v>5.4465028355387517</v>
      </c>
      <c r="AN104" s="357"/>
      <c r="AO104" s="206"/>
      <c r="AP104" s="284"/>
      <c r="AQ104" s="183"/>
      <c r="AR104" s="184"/>
      <c r="AS104" s="184"/>
      <c r="AT104" s="183"/>
      <c r="AU104" s="184"/>
      <c r="AV104" s="184"/>
      <c r="AW104" s="183"/>
      <c r="AX104" s="184"/>
      <c r="AY104" s="184"/>
      <c r="AZ104" s="183"/>
      <c r="BA104" s="184"/>
      <c r="BB104" s="183"/>
      <c r="BC104" s="184"/>
      <c r="BD104" s="184"/>
      <c r="BE104" s="183"/>
      <c r="BF104" s="184"/>
      <c r="BG104" s="184"/>
      <c r="BH104" s="183"/>
      <c r="BI104" s="184"/>
      <c r="BJ104" s="184"/>
      <c r="BK104" s="183"/>
      <c r="BL104" s="184"/>
      <c r="BM104" s="184"/>
      <c r="BN104" s="183"/>
      <c r="BO104" s="184"/>
      <c r="BP104" s="183"/>
      <c r="BQ104" s="184"/>
      <c r="BR104" s="184"/>
      <c r="BS104" s="183"/>
      <c r="BT104" s="184"/>
      <c r="BU104" s="183"/>
      <c r="BV104" s="184"/>
      <c r="BW104" s="183"/>
      <c r="BX104" s="184"/>
      <c r="BY104" s="183"/>
      <c r="BZ104" s="184"/>
      <c r="CA104" s="183"/>
      <c r="CB104" s="184"/>
      <c r="CC104" s="183"/>
      <c r="CD104" s="184"/>
      <c r="CE104" s="183"/>
      <c r="CF104" s="184"/>
      <c r="CG104" s="183"/>
      <c r="CH104" s="184"/>
      <c r="CI104" s="183"/>
      <c r="CJ104" s="184"/>
      <c r="CK104" s="183"/>
      <c r="CL104" s="184"/>
      <c r="CM104" s="256"/>
    </row>
    <row r="105" spans="1:91" ht="10.5" customHeight="1" thickBot="1">
      <c r="A105" s="179" t="str">
        <f t="shared" si="24"/>
        <v/>
      </c>
      <c r="B105" s="358">
        <v>9.9000000000000005E-2</v>
      </c>
      <c r="C105" s="336"/>
      <c r="D105" s="347"/>
      <c r="E105" s="323"/>
      <c r="F105" s="189"/>
      <c r="G105" s="189"/>
      <c r="H105" s="188"/>
      <c r="I105" s="336"/>
      <c r="J105" s="335"/>
      <c r="K105" s="323"/>
      <c r="L105" s="187"/>
      <c r="M105" s="187"/>
      <c r="N105" s="187"/>
      <c r="O105" s="187"/>
      <c r="P105" s="187"/>
      <c r="Q105" s="331"/>
      <c r="R105" s="187"/>
      <c r="S105" s="186"/>
      <c r="T105" s="183"/>
      <c r="U105" s="186"/>
      <c r="V105" s="183"/>
      <c r="W105" s="184"/>
      <c r="X105" s="184"/>
      <c r="Y105" s="183"/>
      <c r="Z105" s="182"/>
      <c r="AA105" s="246"/>
      <c r="AB105" s="221">
        <f t="shared" si="26"/>
        <v>63.587802768166085</v>
      </c>
      <c r="AC105" s="214">
        <f t="shared" si="33"/>
        <v>40.696193771626305</v>
      </c>
      <c r="AD105" s="352">
        <f t="shared" si="27"/>
        <v>38.84661117717004</v>
      </c>
      <c r="AE105" s="221">
        <f t="shared" si="30"/>
        <v>24.3</v>
      </c>
      <c r="AF105" s="343">
        <f t="shared" si="31"/>
        <v>17.398224852071003</v>
      </c>
      <c r="AG105" s="214">
        <f t="shared" si="22"/>
        <v>17.398224852071003</v>
      </c>
      <c r="AH105" s="221">
        <f t="shared" si="23"/>
        <v>13.068000000000001</v>
      </c>
      <c r="AI105" s="337">
        <f t="shared" si="28"/>
        <v>10.174048442906576</v>
      </c>
      <c r="AJ105" s="214">
        <f t="shared" si="29"/>
        <v>9.0750000000000011</v>
      </c>
      <c r="AK105" s="221">
        <f t="shared" si="32"/>
        <v>7.3507499999999997</v>
      </c>
      <c r="AL105" s="330">
        <f xml:space="preserve"> 30*(B105/B$119)^2</f>
        <v>5.5582230623818525</v>
      </c>
      <c r="AM105" s="181">
        <f t="shared" si="34"/>
        <v>5.5582230623818525</v>
      </c>
      <c r="AN105" s="357"/>
      <c r="AO105" s="184"/>
      <c r="AP105" s="284"/>
      <c r="AQ105" s="183"/>
      <c r="AR105" s="184"/>
      <c r="AS105" s="184"/>
      <c r="AT105" s="183"/>
      <c r="AU105" s="184"/>
      <c r="AV105" s="184"/>
      <c r="AW105" s="183"/>
      <c r="AX105" s="184"/>
      <c r="AY105" s="184"/>
      <c r="AZ105" s="183"/>
      <c r="BA105" s="184"/>
      <c r="BB105" s="183"/>
      <c r="BC105" s="184"/>
      <c r="BD105" s="184"/>
      <c r="BE105" s="183"/>
      <c r="BF105" s="184"/>
      <c r="BG105" s="184"/>
      <c r="BH105" s="183"/>
      <c r="BI105" s="184"/>
      <c r="BJ105" s="184"/>
      <c r="BK105" s="183"/>
      <c r="BL105" s="184"/>
      <c r="BM105" s="184"/>
      <c r="BN105" s="183"/>
      <c r="BO105" s="184"/>
      <c r="BP105" s="183"/>
      <c r="BQ105" s="184"/>
      <c r="BR105" s="184"/>
      <c r="BS105" s="183"/>
      <c r="BT105" s="184"/>
      <c r="BU105" s="183"/>
      <c r="BV105" s="184"/>
      <c r="BW105" s="183"/>
      <c r="BX105" s="184"/>
      <c r="BY105" s="183"/>
      <c r="BZ105" s="184"/>
      <c r="CA105" s="183"/>
      <c r="CB105" s="184"/>
      <c r="CC105" s="183"/>
      <c r="CD105" s="184"/>
      <c r="CE105" s="183"/>
      <c r="CF105" s="184"/>
      <c r="CG105" s="183"/>
      <c r="CH105" s="184"/>
      <c r="CI105" s="183"/>
      <c r="CJ105" s="184"/>
      <c r="CK105" s="183"/>
      <c r="CL105" s="184"/>
      <c r="CM105" s="256"/>
    </row>
    <row r="106" spans="1:91" ht="10.5" customHeight="1" thickBot="1">
      <c r="A106" s="179" t="str">
        <f t="shared" si="24"/>
        <v/>
      </c>
      <c r="B106" s="213">
        <v>0.1</v>
      </c>
      <c r="C106" s="341"/>
      <c r="D106" s="346"/>
      <c r="E106" s="321"/>
      <c r="F106" s="212"/>
      <c r="G106" s="212"/>
      <c r="H106" s="211"/>
      <c r="I106" s="341"/>
      <c r="J106" s="340"/>
      <c r="K106" s="321"/>
      <c r="L106" s="328"/>
      <c r="M106" s="210"/>
      <c r="N106" s="210"/>
      <c r="O106" s="210"/>
      <c r="P106" s="210"/>
      <c r="Q106" s="328"/>
      <c r="R106" s="210"/>
      <c r="S106" s="209"/>
      <c r="T106" s="207"/>
      <c r="U106" s="209"/>
      <c r="V106" s="207"/>
      <c r="W106" s="206"/>
      <c r="X106" s="206"/>
      <c r="Y106" s="207"/>
      <c r="Z106" s="226"/>
      <c r="AA106" s="356"/>
      <c r="AB106" s="236">
        <f t="shared" si="26"/>
        <v>64.878892733564001</v>
      </c>
      <c r="AC106" s="219">
        <f t="shared" si="33"/>
        <v>41.522491349480973</v>
      </c>
      <c r="AD106" s="353">
        <f t="shared" si="27"/>
        <v>39.635354736424901</v>
      </c>
      <c r="AE106" s="225">
        <f t="shared" si="30"/>
        <v>24.793388429752071</v>
      </c>
      <c r="AF106" s="345">
        <f t="shared" si="31"/>
        <v>17.751479289940828</v>
      </c>
      <c r="AG106" s="219">
        <f t="shared" si="22"/>
        <v>17.751479289940828</v>
      </c>
      <c r="AH106" s="225">
        <f t="shared" si="23"/>
        <v>13.333333333333336</v>
      </c>
      <c r="AI106" s="334">
        <f t="shared" si="28"/>
        <v>10.380622837370243</v>
      </c>
      <c r="AJ106" s="219">
        <f t="shared" si="29"/>
        <v>9.2592592592592595</v>
      </c>
      <c r="AK106" s="225">
        <f t="shared" si="32"/>
        <v>7.5</v>
      </c>
      <c r="AL106" s="332">
        <f xml:space="preserve"> 30*(B106/B$118)^2</f>
        <v>6.1983471074380176</v>
      </c>
      <c r="AM106" s="203">
        <f t="shared" si="34"/>
        <v>5.6710775047258979</v>
      </c>
      <c r="AN106" s="220"/>
      <c r="AO106" s="355"/>
      <c r="AP106" s="283"/>
      <c r="AQ106" s="207"/>
      <c r="AR106" s="206"/>
      <c r="AS106" s="206"/>
      <c r="AT106" s="207"/>
      <c r="AU106" s="206"/>
      <c r="AV106" s="206"/>
      <c r="AW106" s="207"/>
      <c r="AX106" s="206"/>
      <c r="AY106" s="206"/>
      <c r="AZ106" s="207"/>
      <c r="BA106" s="206"/>
      <c r="BB106" s="207"/>
      <c r="BC106" s="206"/>
      <c r="BD106" s="206"/>
      <c r="BE106" s="207"/>
      <c r="BF106" s="206"/>
      <c r="BG106" s="206"/>
      <c r="BH106" s="207"/>
      <c r="BI106" s="206"/>
      <c r="BJ106" s="206"/>
      <c r="BK106" s="207"/>
      <c r="BL106" s="206"/>
      <c r="BM106" s="206"/>
      <c r="BN106" s="207"/>
      <c r="BO106" s="206"/>
      <c r="BP106" s="207"/>
      <c r="BQ106" s="206"/>
      <c r="BR106" s="206"/>
      <c r="BS106" s="207"/>
      <c r="BT106" s="206"/>
      <c r="BU106" s="207"/>
      <c r="BV106" s="206"/>
      <c r="BW106" s="207"/>
      <c r="BX106" s="206"/>
      <c r="BY106" s="207"/>
      <c r="BZ106" s="206"/>
      <c r="CA106" s="207"/>
      <c r="CB106" s="206"/>
      <c r="CC106" s="207"/>
      <c r="CD106" s="206"/>
      <c r="CE106" s="207"/>
      <c r="CF106" s="206"/>
      <c r="CG106" s="207"/>
      <c r="CH106" s="206"/>
      <c r="CI106" s="207"/>
      <c r="CJ106" s="206"/>
      <c r="CK106" s="207"/>
      <c r="CL106" s="206"/>
      <c r="CM106" s="254"/>
    </row>
    <row r="107" spans="1:91" ht="10.5" customHeight="1" thickBot="1">
      <c r="A107" s="179" t="str">
        <f t="shared" si="24"/>
        <v/>
      </c>
      <c r="B107" s="201">
        <v>0.11</v>
      </c>
      <c r="C107" s="339"/>
      <c r="D107" s="349"/>
      <c r="E107" s="319"/>
      <c r="F107" s="200"/>
      <c r="G107" s="200"/>
      <c r="H107" s="199"/>
      <c r="I107" s="339"/>
      <c r="J107" s="338"/>
      <c r="K107" s="319"/>
      <c r="L107" s="325"/>
      <c r="M107" s="198"/>
      <c r="N107" s="198"/>
      <c r="O107" s="198"/>
      <c r="P107" s="198"/>
      <c r="Q107" s="325"/>
      <c r="R107" s="198"/>
      <c r="S107" s="197"/>
      <c r="T107" s="194"/>
      <c r="U107" s="197"/>
      <c r="V107" s="194"/>
      <c r="W107" s="195"/>
      <c r="X107" s="195"/>
      <c r="Y107" s="194"/>
      <c r="Z107" s="195"/>
      <c r="AA107" s="224"/>
      <c r="AB107" s="218"/>
      <c r="AC107" s="217">
        <f t="shared" si="33"/>
        <v>50.242214532871962</v>
      </c>
      <c r="AD107" s="352">
        <f t="shared" si="27"/>
        <v>47.958779231074118</v>
      </c>
      <c r="AE107" s="238">
        <v>30</v>
      </c>
      <c r="AF107" s="343">
        <f t="shared" si="31"/>
        <v>21.479289940828401</v>
      </c>
      <c r="AG107" s="217">
        <f t="shared" si="22"/>
        <v>21.479289940828401</v>
      </c>
      <c r="AH107" s="223">
        <f t="shared" si="23"/>
        <v>16.133333333333336</v>
      </c>
      <c r="AI107" s="337">
        <f t="shared" si="28"/>
        <v>12.560553633217991</v>
      </c>
      <c r="AJ107" s="217">
        <f t="shared" si="29"/>
        <v>11.203703703703706</v>
      </c>
      <c r="AK107" s="223">
        <f t="shared" si="32"/>
        <v>9.0749999999999975</v>
      </c>
      <c r="AL107" s="330">
        <f xml:space="preserve"> 30*(B107/B$119)^2</f>
        <v>6.8620037807183358</v>
      </c>
      <c r="AM107" s="217">
        <f t="shared" si="34"/>
        <v>6.8620037807183358</v>
      </c>
      <c r="AN107" s="274">
        <f t="shared" ref="AN107:AN121" si="35" xml:space="preserve"> 30*(B107/B$122)^2</f>
        <v>5.3698224852071004</v>
      </c>
      <c r="AO107" s="315">
        <f t="shared" ref="AO107:AO137" si="36" xml:space="preserve"> 30*(B107/B$122)^2</f>
        <v>5.3698224852071004</v>
      </c>
      <c r="AP107" s="354"/>
      <c r="AQ107" s="194"/>
      <c r="AR107" s="195"/>
      <c r="AS107" s="195"/>
      <c r="AT107" s="194"/>
      <c r="AU107" s="195"/>
      <c r="AV107" s="195"/>
      <c r="AW107" s="194"/>
      <c r="AX107" s="195"/>
      <c r="AY107" s="195"/>
      <c r="AZ107" s="194"/>
      <c r="BA107" s="195"/>
      <c r="BB107" s="194"/>
      <c r="BC107" s="195"/>
      <c r="BD107" s="195"/>
      <c r="BE107" s="194"/>
      <c r="BF107" s="195"/>
      <c r="BG107" s="195"/>
      <c r="BH107" s="194"/>
      <c r="BI107" s="195"/>
      <c r="BJ107" s="195"/>
      <c r="BK107" s="194"/>
      <c r="BL107" s="195"/>
      <c r="BM107" s="195"/>
      <c r="BN107" s="194"/>
      <c r="BO107" s="195"/>
      <c r="BP107" s="194"/>
      <c r="BQ107" s="195"/>
      <c r="BR107" s="195"/>
      <c r="BS107" s="194"/>
      <c r="BT107" s="195"/>
      <c r="BU107" s="194"/>
      <c r="BV107" s="195"/>
      <c r="BW107" s="194"/>
      <c r="BX107" s="195"/>
      <c r="BY107" s="194"/>
      <c r="BZ107" s="195"/>
      <c r="CA107" s="194"/>
      <c r="CB107" s="195"/>
      <c r="CC107" s="194"/>
      <c r="CD107" s="195"/>
      <c r="CE107" s="194"/>
      <c r="CF107" s="195"/>
      <c r="CG107" s="194"/>
      <c r="CH107" s="195"/>
      <c r="CI107" s="194"/>
      <c r="CJ107" s="195"/>
      <c r="CK107" s="194"/>
      <c r="CL107" s="195"/>
      <c r="CM107" s="258"/>
    </row>
    <row r="108" spans="1:91" ht="10.5" customHeight="1">
      <c r="A108" s="179" t="str">
        <f t="shared" si="24"/>
        <v/>
      </c>
      <c r="B108" s="190">
        <v>0.12</v>
      </c>
      <c r="C108" s="336"/>
      <c r="D108" s="347"/>
      <c r="E108" s="323"/>
      <c r="F108" s="189"/>
      <c r="G108" s="189"/>
      <c r="H108" s="188"/>
      <c r="I108" s="336"/>
      <c r="J108" s="335"/>
      <c r="K108" s="323"/>
      <c r="L108" s="331"/>
      <c r="M108" s="187"/>
      <c r="N108" s="187"/>
      <c r="O108" s="187"/>
      <c r="P108" s="187"/>
      <c r="Q108" s="331"/>
      <c r="R108" s="187"/>
      <c r="S108" s="186"/>
      <c r="T108" s="183"/>
      <c r="U108" s="186"/>
      <c r="V108" s="183"/>
      <c r="W108" s="184"/>
      <c r="X108" s="184"/>
      <c r="Y108" s="183"/>
      <c r="Z108" s="184"/>
      <c r="AA108" s="182"/>
      <c r="AB108" s="216"/>
      <c r="AC108" s="214">
        <f t="shared" si="33"/>
        <v>59.792387543252588</v>
      </c>
      <c r="AD108" s="353">
        <f t="shared" si="27"/>
        <v>57.074910820451848</v>
      </c>
      <c r="AE108" s="221">
        <f t="shared" ref="AE108:AE113" si="37" xml:space="preserve"> 30*(B108/B$107)^2</f>
        <v>35.70247933884297</v>
      </c>
      <c r="AF108" s="345">
        <f t="shared" si="31"/>
        <v>25.562130177514788</v>
      </c>
      <c r="AG108" s="214">
        <f t="shared" si="22"/>
        <v>25.562130177514788</v>
      </c>
      <c r="AH108" s="221">
        <f t="shared" si="23"/>
        <v>19.200000000000003</v>
      </c>
      <c r="AI108" s="334">
        <f t="shared" si="28"/>
        <v>14.948096885813147</v>
      </c>
      <c r="AJ108" s="214">
        <f t="shared" si="29"/>
        <v>13.333333333333332</v>
      </c>
      <c r="AK108" s="221">
        <f t="shared" si="32"/>
        <v>10.799999999999999</v>
      </c>
      <c r="AL108" s="332">
        <f xml:space="preserve"> 30*(B108/B$118)^2</f>
        <v>8.9256198347107425</v>
      </c>
      <c r="AM108" s="214">
        <f t="shared" si="34"/>
        <v>8.1663516068052928</v>
      </c>
      <c r="AN108" s="221">
        <f t="shared" si="35"/>
        <v>6.3905325443786971</v>
      </c>
      <c r="AO108" s="316">
        <f t="shared" si="36"/>
        <v>6.3905325443786971</v>
      </c>
      <c r="AP108" s="271">
        <f t="shared" ref="AP108:AP124" si="38" xml:space="preserve"> 30*(B108/B$125)^2</f>
        <v>5.1367419738406657</v>
      </c>
      <c r="AQ108" s="285"/>
      <c r="AR108" s="184"/>
      <c r="AS108" s="184"/>
      <c r="AT108" s="183"/>
      <c r="AU108" s="184"/>
      <c r="AV108" s="184"/>
      <c r="AW108" s="183"/>
      <c r="AX108" s="184"/>
      <c r="AY108" s="184"/>
      <c r="AZ108" s="183"/>
      <c r="BA108" s="184"/>
      <c r="BB108" s="183"/>
      <c r="BC108" s="184"/>
      <c r="BD108" s="184"/>
      <c r="BE108" s="183"/>
      <c r="BF108" s="184"/>
      <c r="BG108" s="184"/>
      <c r="BH108" s="183"/>
      <c r="BI108" s="184"/>
      <c r="BJ108" s="184"/>
      <c r="BK108" s="183"/>
      <c r="BL108" s="184"/>
      <c r="BM108" s="184"/>
      <c r="BN108" s="183"/>
      <c r="BO108" s="184"/>
      <c r="BP108" s="183"/>
      <c r="BQ108" s="184"/>
      <c r="BR108" s="184"/>
      <c r="BS108" s="183"/>
      <c r="BT108" s="184"/>
      <c r="BU108" s="183"/>
      <c r="BV108" s="184"/>
      <c r="BW108" s="183"/>
      <c r="BX108" s="184"/>
      <c r="BY108" s="183"/>
      <c r="BZ108" s="184"/>
      <c r="CA108" s="183"/>
      <c r="CB108" s="184"/>
      <c r="CC108" s="183"/>
      <c r="CD108" s="184"/>
      <c r="CE108" s="183"/>
      <c r="CF108" s="184"/>
      <c r="CG108" s="183"/>
      <c r="CH108" s="184"/>
      <c r="CI108" s="183"/>
      <c r="CJ108" s="184"/>
      <c r="CK108" s="183"/>
      <c r="CL108" s="184"/>
      <c r="CM108" s="256"/>
    </row>
    <row r="109" spans="1:91" ht="10.5" customHeight="1" thickBot="1">
      <c r="A109" s="179" t="str">
        <f t="shared" si="24"/>
        <v/>
      </c>
      <c r="B109" s="190">
        <v>0.13</v>
      </c>
      <c r="C109" s="336"/>
      <c r="D109" s="347"/>
      <c r="E109" s="323"/>
      <c r="F109" s="189"/>
      <c r="G109" s="189"/>
      <c r="H109" s="188"/>
      <c r="I109" s="187"/>
      <c r="J109" s="187"/>
      <c r="K109" s="323"/>
      <c r="L109" s="331"/>
      <c r="M109" s="187"/>
      <c r="N109" s="187"/>
      <c r="O109" s="187"/>
      <c r="P109" s="187"/>
      <c r="Q109" s="331"/>
      <c r="R109" s="273"/>
      <c r="S109" s="186"/>
      <c r="T109" s="183"/>
      <c r="U109" s="186"/>
      <c r="V109" s="183"/>
      <c r="W109" s="184"/>
      <c r="X109" s="184"/>
      <c r="Y109" s="183"/>
      <c r="Z109" s="184"/>
      <c r="AA109" s="182"/>
      <c r="AB109" s="216"/>
      <c r="AC109" s="214">
        <f t="shared" si="33"/>
        <v>70.173010380622827</v>
      </c>
      <c r="AD109" s="352">
        <f t="shared" si="27"/>
        <v>66.983749504558077</v>
      </c>
      <c r="AE109" s="221">
        <f t="shared" si="37"/>
        <v>41.900826446281002</v>
      </c>
      <c r="AF109" s="343">
        <f t="shared" si="31"/>
        <v>30</v>
      </c>
      <c r="AG109" s="237">
        <v>30</v>
      </c>
      <c r="AH109" s="221">
        <f t="shared" si="23"/>
        <v>22.533333333333335</v>
      </c>
      <c r="AI109" s="337">
        <f t="shared" si="28"/>
        <v>17.543252595155707</v>
      </c>
      <c r="AJ109" s="214">
        <f t="shared" si="29"/>
        <v>15.648148148148151</v>
      </c>
      <c r="AK109" s="221">
        <f t="shared" si="32"/>
        <v>12.675000000000001</v>
      </c>
      <c r="AL109" s="330">
        <f xml:space="preserve"> 30*(B109/B$119)^2</f>
        <v>9.5841209829867662</v>
      </c>
      <c r="AM109" s="214">
        <f t="shared" si="34"/>
        <v>9.5841209829867662</v>
      </c>
      <c r="AN109" s="221">
        <f t="shared" si="35"/>
        <v>7.5</v>
      </c>
      <c r="AO109" s="315">
        <f t="shared" si="36"/>
        <v>7.5</v>
      </c>
      <c r="AP109" s="181">
        <f t="shared" si="38"/>
        <v>6.0285374554102269</v>
      </c>
      <c r="AQ109" s="261"/>
      <c r="AR109" s="184"/>
      <c r="AS109" s="184"/>
      <c r="AT109" s="183"/>
      <c r="AU109" s="184"/>
      <c r="AV109" s="184"/>
      <c r="AW109" s="183"/>
      <c r="AX109" s="184"/>
      <c r="AY109" s="184"/>
      <c r="AZ109" s="183"/>
      <c r="BA109" s="184"/>
      <c r="BB109" s="183"/>
      <c r="BC109" s="184"/>
      <c r="BD109" s="184"/>
      <c r="BE109" s="183"/>
      <c r="BF109" s="184"/>
      <c r="BG109" s="184"/>
      <c r="BH109" s="183"/>
      <c r="BI109" s="184"/>
      <c r="BJ109" s="184"/>
      <c r="BK109" s="183"/>
      <c r="BL109" s="184"/>
      <c r="BM109" s="184"/>
      <c r="BN109" s="183"/>
      <c r="BO109" s="184"/>
      <c r="BP109" s="183"/>
      <c r="BQ109" s="184"/>
      <c r="BR109" s="184"/>
      <c r="BS109" s="183"/>
      <c r="BT109" s="184"/>
      <c r="BU109" s="183"/>
      <c r="BV109" s="184"/>
      <c r="BW109" s="183"/>
      <c r="BX109" s="184"/>
      <c r="BY109" s="183"/>
      <c r="BZ109" s="184"/>
      <c r="CA109" s="183"/>
      <c r="CB109" s="184"/>
      <c r="CC109" s="183"/>
      <c r="CD109" s="184"/>
      <c r="CE109" s="183"/>
      <c r="CF109" s="184"/>
      <c r="CG109" s="183"/>
      <c r="CH109" s="184"/>
      <c r="CI109" s="183"/>
      <c r="CJ109" s="184"/>
      <c r="CK109" s="183"/>
      <c r="CL109" s="184"/>
      <c r="CM109" s="256"/>
    </row>
    <row r="110" spans="1:91" ht="10.5" customHeight="1" thickBot="1">
      <c r="A110" s="179" t="str">
        <f t="shared" si="24"/>
        <v/>
      </c>
      <c r="B110" s="213">
        <v>0.14000000000000001</v>
      </c>
      <c r="C110" s="341"/>
      <c r="D110" s="346"/>
      <c r="E110" s="321"/>
      <c r="F110" s="212"/>
      <c r="G110" s="212"/>
      <c r="H110" s="211"/>
      <c r="I110" s="210"/>
      <c r="J110" s="210"/>
      <c r="K110" s="321"/>
      <c r="L110" s="328"/>
      <c r="M110" s="210"/>
      <c r="N110" s="210"/>
      <c r="O110" s="210"/>
      <c r="P110" s="210"/>
      <c r="Q110" s="210"/>
      <c r="R110" s="270"/>
      <c r="S110" s="209"/>
      <c r="T110" s="207"/>
      <c r="U110" s="209"/>
      <c r="V110" s="207"/>
      <c r="W110" s="206"/>
      <c r="X110" s="206"/>
      <c r="Y110" s="207"/>
      <c r="Z110" s="206"/>
      <c r="AA110" s="206"/>
      <c r="AB110" s="208"/>
      <c r="AC110" s="239"/>
      <c r="AD110" s="351">
        <f t="shared" si="27"/>
        <v>77.685295283392804</v>
      </c>
      <c r="AE110" s="225">
        <f t="shared" si="37"/>
        <v>48.595041322314067</v>
      </c>
      <c r="AF110" s="345">
        <f t="shared" si="31"/>
        <v>34.792899408284036</v>
      </c>
      <c r="AG110" s="219">
        <f t="shared" ref="AG110:AG116" si="39" xml:space="preserve"> 30*(B110/B$109)^2</f>
        <v>34.792899408284036</v>
      </c>
      <c r="AH110" s="225">
        <f t="shared" si="23"/>
        <v>26.13333333333334</v>
      </c>
      <c r="AI110" s="334">
        <f t="shared" si="28"/>
        <v>20.346020761245676</v>
      </c>
      <c r="AJ110" s="219">
        <f t="shared" si="29"/>
        <v>18.148148148148156</v>
      </c>
      <c r="AK110" s="225">
        <f t="shared" si="32"/>
        <v>14.700000000000003</v>
      </c>
      <c r="AL110" s="332">
        <f xml:space="preserve"> 30*(B110/B$118)^2</f>
        <v>12.148760330578517</v>
      </c>
      <c r="AM110" s="219">
        <f t="shared" si="34"/>
        <v>11.115311909262761</v>
      </c>
      <c r="AN110" s="225">
        <f t="shared" si="35"/>
        <v>8.698224852071009</v>
      </c>
      <c r="AO110" s="316">
        <f t="shared" si="36"/>
        <v>8.698224852071009</v>
      </c>
      <c r="AP110" s="219">
        <f t="shared" si="38"/>
        <v>6.9916765755053536</v>
      </c>
      <c r="AQ110" s="350">
        <f t="shared" ref="AQ110:AQ128" si="40" xml:space="preserve"> 30*(B110/B$129)^2</f>
        <v>5.3994490358126725</v>
      </c>
      <c r="AR110" s="310">
        <f t="shared" ref="AR110:AR148" si="41" xml:space="preserve"> 30*(B110/B$130)^2</f>
        <v>5.0865051903114189</v>
      </c>
      <c r="AS110" s="271">
        <f t="shared" ref="AS110:AS130" si="42" xml:space="preserve"> 30*(B110/B$131)^2</f>
        <v>4.8000000000000016</v>
      </c>
      <c r="AT110" s="286"/>
      <c r="AU110" s="206"/>
      <c r="AV110" s="206"/>
      <c r="AW110" s="207"/>
      <c r="AX110" s="206"/>
      <c r="AY110" s="206"/>
      <c r="AZ110" s="207"/>
      <c r="BA110" s="206"/>
      <c r="BB110" s="207"/>
      <c r="BC110" s="206"/>
      <c r="BD110" s="206"/>
      <c r="BE110" s="207"/>
      <c r="BF110" s="206"/>
      <c r="BG110" s="206"/>
      <c r="BH110" s="207"/>
      <c r="BI110" s="206"/>
      <c r="BJ110" s="206"/>
      <c r="BK110" s="207"/>
      <c r="BL110" s="206"/>
      <c r="BM110" s="206"/>
      <c r="BN110" s="207"/>
      <c r="BO110" s="206"/>
      <c r="BP110" s="207"/>
      <c r="BQ110" s="206"/>
      <c r="BR110" s="206"/>
      <c r="BS110" s="207"/>
      <c r="BT110" s="206"/>
      <c r="BU110" s="207"/>
      <c r="BV110" s="206"/>
      <c r="BW110" s="207"/>
      <c r="BX110" s="206"/>
      <c r="BY110" s="207"/>
      <c r="BZ110" s="206"/>
      <c r="CA110" s="207"/>
      <c r="CB110" s="206"/>
      <c r="CC110" s="207"/>
      <c r="CD110" s="206"/>
      <c r="CE110" s="207"/>
      <c r="CF110" s="206"/>
      <c r="CG110" s="207"/>
      <c r="CH110" s="206"/>
      <c r="CI110" s="207"/>
      <c r="CJ110" s="206"/>
      <c r="CK110" s="207"/>
      <c r="CL110" s="206"/>
      <c r="CM110" s="254"/>
    </row>
    <row r="111" spans="1:91" ht="10.5" customHeight="1" thickBot="1">
      <c r="A111" s="179" t="str">
        <f t="shared" si="24"/>
        <v/>
      </c>
      <c r="B111" s="201">
        <v>0.15</v>
      </c>
      <c r="C111" s="339"/>
      <c r="D111" s="349"/>
      <c r="E111" s="319"/>
      <c r="F111" s="200"/>
      <c r="G111" s="200"/>
      <c r="H111" s="199"/>
      <c r="I111" s="198"/>
      <c r="J111" s="198"/>
      <c r="K111" s="319"/>
      <c r="L111" s="325"/>
      <c r="M111" s="198"/>
      <c r="N111" s="198"/>
      <c r="O111" s="198"/>
      <c r="P111" s="198"/>
      <c r="Q111" s="198"/>
      <c r="R111" s="267"/>
      <c r="S111" s="197"/>
      <c r="T111" s="194"/>
      <c r="U111" s="197"/>
      <c r="V111" s="194"/>
      <c r="W111" s="195"/>
      <c r="X111" s="195"/>
      <c r="Y111" s="194"/>
      <c r="Z111" s="195"/>
      <c r="AA111" s="195"/>
      <c r="AB111" s="196"/>
      <c r="AC111" s="193"/>
      <c r="AD111" s="308"/>
      <c r="AE111" s="223">
        <f t="shared" si="37"/>
        <v>55.785123966942145</v>
      </c>
      <c r="AF111" s="343">
        <f t="shared" si="31"/>
        <v>39.940828402366854</v>
      </c>
      <c r="AG111" s="217">
        <f t="shared" si="39"/>
        <v>39.940828402366854</v>
      </c>
      <c r="AH111" s="223">
        <v>30</v>
      </c>
      <c r="AI111" s="337">
        <f t="shared" si="28"/>
        <v>23.356401384083036</v>
      </c>
      <c r="AJ111" s="217">
        <f t="shared" si="29"/>
        <v>20.833333333333336</v>
      </c>
      <c r="AK111" s="223">
        <f t="shared" si="32"/>
        <v>16.874999999999993</v>
      </c>
      <c r="AL111" s="330">
        <f xml:space="preserve"> 30*(B111/B$119)^2</f>
        <v>12.759924385633266</v>
      </c>
      <c r="AM111" s="217">
        <f t="shared" si="34"/>
        <v>12.759924385633266</v>
      </c>
      <c r="AN111" s="223">
        <f t="shared" si="35"/>
        <v>9.9852071005917136</v>
      </c>
      <c r="AO111" s="315">
        <f t="shared" si="36"/>
        <v>9.9852071005917136</v>
      </c>
      <c r="AP111" s="217">
        <f t="shared" si="38"/>
        <v>8.0261593341260422</v>
      </c>
      <c r="AQ111" s="223">
        <f t="shared" si="40"/>
        <v>6.1983471074380159</v>
      </c>
      <c r="AR111" s="312">
        <f t="shared" si="41"/>
        <v>5.8391003460207589</v>
      </c>
      <c r="AS111" s="192">
        <f t="shared" si="42"/>
        <v>5.5102040816326543</v>
      </c>
      <c r="AT111" s="261"/>
      <c r="AU111" s="195"/>
      <c r="AV111" s="195"/>
      <c r="AW111" s="194"/>
      <c r="AX111" s="195"/>
      <c r="AY111" s="195"/>
      <c r="AZ111" s="194"/>
      <c r="BA111" s="195"/>
      <c r="BB111" s="194"/>
      <c r="BC111" s="195"/>
      <c r="BD111" s="195"/>
      <c r="BE111" s="194"/>
      <c r="BF111" s="195"/>
      <c r="BG111" s="195"/>
      <c r="BH111" s="194"/>
      <c r="BI111" s="195"/>
      <c r="BJ111" s="195"/>
      <c r="BK111" s="194"/>
      <c r="BL111" s="195"/>
      <c r="BM111" s="195"/>
      <c r="BN111" s="194"/>
      <c r="BO111" s="195"/>
      <c r="BP111" s="194"/>
      <c r="BQ111" s="195"/>
      <c r="BR111" s="195"/>
      <c r="BS111" s="194"/>
      <c r="BT111" s="195"/>
      <c r="BU111" s="194"/>
      <c r="BV111" s="195"/>
      <c r="BW111" s="194"/>
      <c r="BX111" s="195"/>
      <c r="BY111" s="194"/>
      <c r="BZ111" s="195"/>
      <c r="CA111" s="194"/>
      <c r="CB111" s="195"/>
      <c r="CC111" s="194"/>
      <c r="CD111" s="195"/>
      <c r="CE111" s="194"/>
      <c r="CF111" s="195"/>
      <c r="CG111" s="194"/>
      <c r="CH111" s="195"/>
      <c r="CI111" s="194"/>
      <c r="CJ111" s="195"/>
      <c r="CK111" s="194"/>
      <c r="CL111" s="195"/>
      <c r="CM111" s="258"/>
    </row>
    <row r="112" spans="1:91" ht="10.5" customHeight="1" thickBot="1">
      <c r="A112" s="179" t="str">
        <f t="shared" si="24"/>
        <v/>
      </c>
      <c r="B112" s="190">
        <v>0.16</v>
      </c>
      <c r="C112" s="336"/>
      <c r="D112" s="347"/>
      <c r="E112" s="323"/>
      <c r="F112" s="189"/>
      <c r="G112" s="189"/>
      <c r="H112" s="188"/>
      <c r="I112" s="187"/>
      <c r="J112" s="187"/>
      <c r="K112" s="323"/>
      <c r="L112" s="331"/>
      <c r="M112" s="187"/>
      <c r="N112" s="187"/>
      <c r="O112" s="187"/>
      <c r="P112" s="187"/>
      <c r="Q112" s="187"/>
      <c r="R112" s="273"/>
      <c r="S112" s="186"/>
      <c r="T112" s="183"/>
      <c r="U112" s="186"/>
      <c r="V112" s="183"/>
      <c r="W112" s="184"/>
      <c r="X112" s="184"/>
      <c r="Y112" s="183"/>
      <c r="Z112" s="184"/>
      <c r="AA112" s="184"/>
      <c r="AB112" s="185"/>
      <c r="AC112" s="232"/>
      <c r="AD112" s="348"/>
      <c r="AE112" s="221">
        <f t="shared" si="37"/>
        <v>63.471074380165291</v>
      </c>
      <c r="AF112" s="345">
        <f t="shared" si="31"/>
        <v>45.443786982248525</v>
      </c>
      <c r="AG112" s="214">
        <f t="shared" si="39"/>
        <v>45.443786982248525</v>
      </c>
      <c r="AH112" s="221">
        <f t="shared" ref="AH112:AH119" si="43" xml:space="preserve"> 30*(B112/B$111)^2</f>
        <v>34.133333333333333</v>
      </c>
      <c r="AI112" s="334">
        <f t="shared" si="28"/>
        <v>26.574394463667822</v>
      </c>
      <c r="AJ112" s="214">
        <f t="shared" si="29"/>
        <v>23.703703703703706</v>
      </c>
      <c r="AK112" s="221">
        <f t="shared" si="32"/>
        <v>19.199999999999996</v>
      </c>
      <c r="AL112" s="332">
        <f xml:space="preserve"> 30*(B112/B$118)^2</f>
        <v>15.867768595041323</v>
      </c>
      <c r="AM112" s="214">
        <f t="shared" si="34"/>
        <v>14.517958412098297</v>
      </c>
      <c r="AN112" s="221">
        <f t="shared" si="35"/>
        <v>11.360946745562131</v>
      </c>
      <c r="AO112" s="316">
        <f t="shared" si="36"/>
        <v>11.360946745562131</v>
      </c>
      <c r="AP112" s="214">
        <f t="shared" si="38"/>
        <v>9.1319857312722998</v>
      </c>
      <c r="AQ112" s="221">
        <f t="shared" si="40"/>
        <v>7.0523415977961443</v>
      </c>
      <c r="AR112" s="310">
        <f t="shared" si="41"/>
        <v>6.6435986159169556</v>
      </c>
      <c r="AS112" s="214">
        <f t="shared" si="42"/>
        <v>6.2693877551020423</v>
      </c>
      <c r="AT112" s="240">
        <f t="shared" ref="AT112:AT134" si="44" xml:space="preserve"> 30*(B112/B$135)^2</f>
        <v>5.0493096646942792</v>
      </c>
      <c r="AU112" s="284"/>
      <c r="AV112" s="278" t="s">
        <v>3553</v>
      </c>
      <c r="AW112" s="183"/>
      <c r="AX112" s="184"/>
      <c r="AY112" s="184"/>
      <c r="AZ112" s="183"/>
      <c r="BA112" s="184"/>
      <c r="BB112" s="183"/>
      <c r="BC112" s="184"/>
      <c r="BD112" s="184"/>
      <c r="BE112" s="183"/>
      <c r="BF112" s="184"/>
      <c r="BG112" s="184"/>
      <c r="BH112" s="183"/>
      <c r="BI112" s="184"/>
      <c r="BJ112" s="184"/>
      <c r="BK112" s="183"/>
      <c r="BL112" s="184"/>
      <c r="BM112" s="184"/>
      <c r="BN112" s="183"/>
      <c r="BO112" s="184"/>
      <c r="BP112" s="183"/>
      <c r="BQ112" s="184"/>
      <c r="BR112" s="184"/>
      <c r="BS112" s="183"/>
      <c r="BT112" s="184"/>
      <c r="BU112" s="183"/>
      <c r="BV112" s="184"/>
      <c r="BW112" s="183"/>
      <c r="BX112" s="184"/>
      <c r="BY112" s="183"/>
      <c r="BZ112" s="184"/>
      <c r="CA112" s="183"/>
      <c r="CB112" s="184"/>
      <c r="CC112" s="183"/>
      <c r="CD112" s="184"/>
      <c r="CE112" s="183"/>
      <c r="CF112" s="184"/>
      <c r="CG112" s="183"/>
      <c r="CH112" s="184"/>
      <c r="CI112" s="183"/>
      <c r="CJ112" s="184"/>
      <c r="CK112" s="183"/>
      <c r="CL112" s="184"/>
      <c r="CM112" s="256"/>
    </row>
    <row r="113" spans="1:91" ht="10.5" customHeight="1" thickBot="1">
      <c r="A113" s="179" t="str">
        <f t="shared" si="24"/>
        <v/>
      </c>
      <c r="B113" s="190">
        <v>0.17</v>
      </c>
      <c r="C113" s="336"/>
      <c r="D113" s="347"/>
      <c r="E113" s="323"/>
      <c r="F113" s="189"/>
      <c r="G113" s="189"/>
      <c r="H113" s="188"/>
      <c r="I113" s="187"/>
      <c r="J113" s="187"/>
      <c r="K113" s="187"/>
      <c r="L113" s="331"/>
      <c r="M113" s="273"/>
      <c r="N113" s="187"/>
      <c r="O113" s="187"/>
      <c r="P113" s="187"/>
      <c r="Q113" s="187"/>
      <c r="R113" s="273"/>
      <c r="S113" s="186"/>
      <c r="T113" s="183"/>
      <c r="U113" s="186"/>
      <c r="V113" s="183"/>
      <c r="W113" s="184"/>
      <c r="X113" s="184"/>
      <c r="Y113" s="183"/>
      <c r="Z113" s="184"/>
      <c r="AA113" s="184"/>
      <c r="AB113" s="185"/>
      <c r="AC113" s="232"/>
      <c r="AD113" s="287"/>
      <c r="AE113" s="221">
        <f t="shared" si="37"/>
        <v>71.652892561983492</v>
      </c>
      <c r="AF113" s="343">
        <f t="shared" si="31"/>
        <v>51.301775147928993</v>
      </c>
      <c r="AG113" s="214">
        <f t="shared" si="39"/>
        <v>51.301775147928993</v>
      </c>
      <c r="AH113" s="221">
        <f t="shared" si="43"/>
        <v>38.533333333333346</v>
      </c>
      <c r="AI113" s="337">
        <f t="shared" si="28"/>
        <v>30</v>
      </c>
      <c r="AJ113" s="214">
        <f t="shared" si="29"/>
        <v>26.759259259259267</v>
      </c>
      <c r="AK113" s="221">
        <f t="shared" si="32"/>
        <v>21.674999999999997</v>
      </c>
      <c r="AL113" s="330">
        <f xml:space="preserve"> 30*(B113/B$119)^2</f>
        <v>16.38941398865785</v>
      </c>
      <c r="AM113" s="214">
        <f t="shared" si="34"/>
        <v>16.38941398865785</v>
      </c>
      <c r="AN113" s="221">
        <f t="shared" si="35"/>
        <v>12.825443786982248</v>
      </c>
      <c r="AO113" s="315">
        <f t="shared" si="36"/>
        <v>12.825443786982248</v>
      </c>
      <c r="AP113" s="214">
        <f t="shared" si="38"/>
        <v>10.309155766944118</v>
      </c>
      <c r="AQ113" s="221">
        <f t="shared" si="40"/>
        <v>7.9614325068870526</v>
      </c>
      <c r="AR113" s="312">
        <f t="shared" si="41"/>
        <v>7.5</v>
      </c>
      <c r="AS113" s="214">
        <f t="shared" si="42"/>
        <v>7.0775510204081646</v>
      </c>
      <c r="AT113" s="221">
        <f t="shared" si="44"/>
        <v>5.7001972386587774</v>
      </c>
      <c r="AU113" s="271">
        <f t="shared" ref="AU113:AU138" si="45" xml:space="preserve"> 30*(B113/B$139)^2</f>
        <v>4.6890210924824238</v>
      </c>
      <c r="AV113" s="311"/>
      <c r="AW113" s="285"/>
      <c r="AX113" s="184"/>
      <c r="AY113" s="184"/>
      <c r="AZ113" s="183"/>
      <c r="BA113" s="184"/>
      <c r="BB113" s="183"/>
      <c r="BC113" s="184"/>
      <c r="BD113" s="184"/>
      <c r="BE113" s="183"/>
      <c r="BF113" s="184"/>
      <c r="BG113" s="184"/>
      <c r="BH113" s="183"/>
      <c r="BI113" s="184"/>
      <c r="BJ113" s="184"/>
      <c r="BK113" s="183"/>
      <c r="BL113" s="184"/>
      <c r="BM113" s="184"/>
      <c r="BN113" s="183"/>
      <c r="BO113" s="184"/>
      <c r="BP113" s="183"/>
      <c r="BQ113" s="184"/>
      <c r="BR113" s="184"/>
      <c r="BS113" s="183"/>
      <c r="BT113" s="184"/>
      <c r="BU113" s="183"/>
      <c r="BV113" s="184"/>
      <c r="BW113" s="183"/>
      <c r="BX113" s="184"/>
      <c r="BY113" s="183"/>
      <c r="BZ113" s="184"/>
      <c r="CA113" s="183"/>
      <c r="CB113" s="184"/>
      <c r="CC113" s="183"/>
      <c r="CD113" s="184"/>
      <c r="CE113" s="183"/>
      <c r="CF113" s="184"/>
      <c r="CG113" s="183"/>
      <c r="CH113" s="184"/>
      <c r="CI113" s="183"/>
      <c r="CJ113" s="184"/>
      <c r="CK113" s="183"/>
      <c r="CL113" s="184"/>
      <c r="CM113" s="256"/>
    </row>
    <row r="114" spans="1:91" ht="10.5" customHeight="1" thickBot="1">
      <c r="A114" s="179" t="str">
        <f t="shared" si="24"/>
        <v/>
      </c>
      <c r="B114" s="213">
        <v>0.18</v>
      </c>
      <c r="C114" s="341"/>
      <c r="D114" s="346"/>
      <c r="E114" s="321"/>
      <c r="F114" s="212"/>
      <c r="G114" s="212"/>
      <c r="H114" s="211"/>
      <c r="I114" s="210"/>
      <c r="J114" s="210"/>
      <c r="K114" s="210"/>
      <c r="L114" s="328"/>
      <c r="M114" s="270"/>
      <c r="N114" s="210"/>
      <c r="O114" s="210"/>
      <c r="P114" s="210"/>
      <c r="Q114" s="210"/>
      <c r="R114" s="270"/>
      <c r="S114" s="209"/>
      <c r="T114" s="207"/>
      <c r="U114" s="209"/>
      <c r="V114" s="207"/>
      <c r="W114" s="206"/>
      <c r="X114" s="206"/>
      <c r="Y114" s="207"/>
      <c r="Z114" s="206"/>
      <c r="AA114" s="206"/>
      <c r="AB114" s="208"/>
      <c r="AC114" s="277"/>
      <c r="AD114" s="239"/>
      <c r="AE114" s="230"/>
      <c r="AF114" s="345">
        <f t="shared" si="31"/>
        <v>57.514792899408278</v>
      </c>
      <c r="AG114" s="219">
        <f t="shared" si="39"/>
        <v>57.514792899408278</v>
      </c>
      <c r="AH114" s="225">
        <f t="shared" si="43"/>
        <v>43.199999999999996</v>
      </c>
      <c r="AI114" s="334">
        <f t="shared" si="28"/>
        <v>33.633217993079576</v>
      </c>
      <c r="AJ114" s="344">
        <v>30</v>
      </c>
      <c r="AK114" s="225">
        <f t="shared" si="32"/>
        <v>24.299999999999994</v>
      </c>
      <c r="AL114" s="332">
        <f xml:space="preserve"> 30*(B114/B$118)^2</f>
        <v>20.082644628099171</v>
      </c>
      <c r="AM114" s="219">
        <f t="shared" si="34"/>
        <v>18.374291115311905</v>
      </c>
      <c r="AN114" s="225">
        <f t="shared" si="35"/>
        <v>14.378698224852069</v>
      </c>
      <c r="AO114" s="316">
        <f t="shared" si="36"/>
        <v>14.378698224852069</v>
      </c>
      <c r="AP114" s="219">
        <f t="shared" si="38"/>
        <v>11.557669441141499</v>
      </c>
      <c r="AQ114" s="225">
        <f t="shared" si="40"/>
        <v>8.9256198347107425</v>
      </c>
      <c r="AR114" s="310">
        <f t="shared" si="41"/>
        <v>8.408304498269894</v>
      </c>
      <c r="AS114" s="219">
        <f t="shared" si="42"/>
        <v>7.9346938775510223</v>
      </c>
      <c r="AT114" s="225">
        <f t="shared" si="44"/>
        <v>6.3905325443786971</v>
      </c>
      <c r="AU114" s="203">
        <f t="shared" si="45"/>
        <v>5.2568956192536502</v>
      </c>
      <c r="AV114" s="301">
        <f t="shared" ref="AV114:AV145" si="46" xml:space="preserve"> 30*(B114/B$140)^2</f>
        <v>5.0206611570247928</v>
      </c>
      <c r="AW114" s="268"/>
      <c r="AX114" s="206"/>
      <c r="AY114" s="206"/>
      <c r="AZ114" s="207"/>
      <c r="BA114" s="206"/>
      <c r="BB114" s="207"/>
      <c r="BC114" s="206"/>
      <c r="BD114" s="206"/>
      <c r="BE114" s="207"/>
      <c r="BF114" s="206"/>
      <c r="BG114" s="206"/>
      <c r="BH114" s="207"/>
      <c r="BI114" s="206"/>
      <c r="BJ114" s="206"/>
      <c r="BK114" s="207"/>
      <c r="BL114" s="206"/>
      <c r="BM114" s="206"/>
      <c r="BN114" s="207"/>
      <c r="BO114" s="206"/>
      <c r="BP114" s="207"/>
      <c r="BQ114" s="206"/>
      <c r="BR114" s="206"/>
      <c r="BS114" s="207"/>
      <c r="BT114" s="206"/>
      <c r="BU114" s="207"/>
      <c r="BV114" s="206"/>
      <c r="BW114" s="207"/>
      <c r="BX114" s="206"/>
      <c r="BY114" s="207"/>
      <c r="BZ114" s="206"/>
      <c r="CA114" s="207"/>
      <c r="CB114" s="206"/>
      <c r="CC114" s="207"/>
      <c r="CD114" s="206"/>
      <c r="CE114" s="207"/>
      <c r="CF114" s="206"/>
      <c r="CG114" s="207"/>
      <c r="CH114" s="206"/>
      <c r="CI114" s="207"/>
      <c r="CJ114" s="206"/>
      <c r="CK114" s="207"/>
      <c r="CL114" s="206"/>
      <c r="CM114" s="254"/>
    </row>
    <row r="115" spans="1:91" ht="10.5" customHeight="1" thickBot="1">
      <c r="A115" s="179" t="str">
        <f t="shared" si="24"/>
        <v/>
      </c>
      <c r="B115" s="201">
        <v>0.19</v>
      </c>
      <c r="C115" s="339"/>
      <c r="D115" s="338"/>
      <c r="E115" s="319"/>
      <c r="F115" s="200"/>
      <c r="G115" s="200"/>
      <c r="H115" s="199"/>
      <c r="I115" s="198"/>
      <c r="J115" s="198"/>
      <c r="K115" s="198"/>
      <c r="L115" s="325"/>
      <c r="M115" s="267"/>
      <c r="N115" s="198"/>
      <c r="O115" s="198"/>
      <c r="P115" s="198"/>
      <c r="Q115" s="198"/>
      <c r="R115" s="267"/>
      <c r="S115" s="197"/>
      <c r="T115" s="194"/>
      <c r="U115" s="197"/>
      <c r="V115" s="194"/>
      <c r="W115" s="195"/>
      <c r="X115" s="195"/>
      <c r="Y115" s="194"/>
      <c r="Z115" s="195"/>
      <c r="AA115" s="195"/>
      <c r="AB115" s="194"/>
      <c r="AC115" s="318"/>
      <c r="AD115" s="193"/>
      <c r="AE115" s="218"/>
      <c r="AF115" s="343">
        <f t="shared" si="31"/>
        <v>64.08284023668638</v>
      </c>
      <c r="AG115" s="217">
        <f t="shared" si="39"/>
        <v>64.08284023668638</v>
      </c>
      <c r="AH115" s="223">
        <f t="shared" si="43"/>
        <v>48.13333333333334</v>
      </c>
      <c r="AI115" s="337">
        <f t="shared" si="28"/>
        <v>37.474048442906579</v>
      </c>
      <c r="AJ115" s="217">
        <f t="shared" ref="AJ115:AJ124" si="47" xml:space="preserve"> 30*(B115/B$114)^2</f>
        <v>33.425925925925931</v>
      </c>
      <c r="AK115" s="223">
        <f t="shared" si="32"/>
        <v>27.074999999999999</v>
      </c>
      <c r="AL115" s="330">
        <f xml:space="preserve"> 30*(B115/B$119)^2</f>
        <v>20.472589792060489</v>
      </c>
      <c r="AM115" s="217">
        <f t="shared" si="34"/>
        <v>20.472589792060489</v>
      </c>
      <c r="AN115" s="223">
        <f t="shared" si="35"/>
        <v>16.020710059171595</v>
      </c>
      <c r="AO115" s="315">
        <f t="shared" si="36"/>
        <v>16.020710059171595</v>
      </c>
      <c r="AP115" s="217">
        <f t="shared" si="38"/>
        <v>12.877526753864451</v>
      </c>
      <c r="AQ115" s="223">
        <f t="shared" si="40"/>
        <v>9.9449035812672157</v>
      </c>
      <c r="AR115" s="312">
        <f t="shared" si="41"/>
        <v>9.3685121107266447</v>
      </c>
      <c r="AS115" s="217">
        <f t="shared" si="42"/>
        <v>8.8408163265306143</v>
      </c>
      <c r="AT115" s="223">
        <f t="shared" si="44"/>
        <v>7.1203155818540438</v>
      </c>
      <c r="AU115" s="217">
        <f t="shared" si="45"/>
        <v>5.8572201189832347</v>
      </c>
      <c r="AV115" s="298">
        <f t="shared" si="46"/>
        <v>5.5940082644628104</v>
      </c>
      <c r="AW115" s="274">
        <f t="shared" ref="AW115:AW143" si="48" xml:space="preserve"> 30*(B115/B$144)^2</f>
        <v>4.7005208333333348</v>
      </c>
      <c r="AX115" s="303"/>
      <c r="AY115" s="303"/>
      <c r="AZ115" s="194"/>
      <c r="BA115" s="195"/>
      <c r="BB115" s="194"/>
      <c r="BC115" s="195"/>
      <c r="BD115" s="195"/>
      <c r="BE115" s="194"/>
      <c r="BF115" s="195"/>
      <c r="BG115" s="195"/>
      <c r="BH115" s="194"/>
      <c r="BI115" s="195"/>
      <c r="BJ115" s="195"/>
      <c r="BK115" s="194"/>
      <c r="BL115" s="195"/>
      <c r="BM115" s="195"/>
      <c r="BN115" s="194"/>
      <c r="BO115" s="195"/>
      <c r="BP115" s="194"/>
      <c r="BQ115" s="195"/>
      <c r="BR115" s="195"/>
      <c r="BS115" s="194"/>
      <c r="BT115" s="195"/>
      <c r="BU115" s="194"/>
      <c r="BV115" s="195"/>
      <c r="BW115" s="194"/>
      <c r="BX115" s="195"/>
      <c r="BY115" s="194"/>
      <c r="BZ115" s="195"/>
      <c r="CA115" s="194"/>
      <c r="CB115" s="195"/>
      <c r="CC115" s="194"/>
      <c r="CD115" s="195"/>
      <c r="CE115" s="194"/>
      <c r="CF115" s="195"/>
      <c r="CG115" s="194"/>
      <c r="CH115" s="195"/>
      <c r="CI115" s="194"/>
      <c r="CJ115" s="195"/>
      <c r="CK115" s="194"/>
      <c r="CL115" s="195"/>
      <c r="CM115" s="258"/>
    </row>
    <row r="116" spans="1:91" ht="10.5" customHeight="1" thickBot="1">
      <c r="A116" s="179" t="str">
        <f t="shared" si="24"/>
        <v/>
      </c>
      <c r="B116" s="190">
        <v>0.2</v>
      </c>
      <c r="C116" s="336"/>
      <c r="D116" s="335"/>
      <c r="E116" s="323"/>
      <c r="F116" s="331"/>
      <c r="G116" s="189"/>
      <c r="H116" s="188"/>
      <c r="I116" s="187"/>
      <c r="J116" s="187"/>
      <c r="K116" s="187"/>
      <c r="L116" s="331"/>
      <c r="M116" s="273"/>
      <c r="N116" s="187"/>
      <c r="O116" s="187"/>
      <c r="P116" s="187"/>
      <c r="Q116" s="187"/>
      <c r="R116" s="273"/>
      <c r="S116" s="186"/>
      <c r="T116" s="183"/>
      <c r="U116" s="186"/>
      <c r="V116" s="183"/>
      <c r="W116" s="184"/>
      <c r="X116" s="184"/>
      <c r="Y116" s="183"/>
      <c r="Z116" s="184"/>
      <c r="AA116" s="184"/>
      <c r="AB116" s="183"/>
      <c r="AC116" s="231"/>
      <c r="AD116" s="232"/>
      <c r="AE116" s="216"/>
      <c r="AF116" s="342">
        <f t="shared" si="31"/>
        <v>71.005917159763314</v>
      </c>
      <c r="AG116" s="227">
        <f t="shared" si="39"/>
        <v>71.005917159763314</v>
      </c>
      <c r="AH116" s="221">
        <f t="shared" si="43"/>
        <v>53.333333333333343</v>
      </c>
      <c r="AI116" s="334">
        <f t="shared" si="28"/>
        <v>41.522491349480973</v>
      </c>
      <c r="AJ116" s="214">
        <f t="shared" si="47"/>
        <v>37.037037037037038</v>
      </c>
      <c r="AK116" s="221">
        <f t="shared" si="32"/>
        <v>30</v>
      </c>
      <c r="AL116" s="332">
        <f xml:space="preserve"> 30*(B116/B$118)^2</f>
        <v>24.793388429752071</v>
      </c>
      <c r="AM116" s="214">
        <f t="shared" si="34"/>
        <v>22.684310018903592</v>
      </c>
      <c r="AN116" s="221">
        <f t="shared" si="35"/>
        <v>17.751479289940828</v>
      </c>
      <c r="AO116" s="316">
        <f t="shared" si="36"/>
        <v>17.751479289940828</v>
      </c>
      <c r="AP116" s="214">
        <f t="shared" si="38"/>
        <v>14.268727705112962</v>
      </c>
      <c r="AQ116" s="221">
        <f t="shared" si="40"/>
        <v>11.019283746556475</v>
      </c>
      <c r="AR116" s="310">
        <f t="shared" si="41"/>
        <v>10.380622837370243</v>
      </c>
      <c r="AS116" s="214">
        <f t="shared" si="42"/>
        <v>9.7959183673469408</v>
      </c>
      <c r="AT116" s="221">
        <f t="shared" si="44"/>
        <v>7.8895463510848138</v>
      </c>
      <c r="AU116" s="214">
        <f t="shared" si="45"/>
        <v>6.4899945916711745</v>
      </c>
      <c r="AV116" s="301">
        <f t="shared" si="46"/>
        <v>6.1983471074380176</v>
      </c>
      <c r="AW116" s="180">
        <f t="shared" si="48"/>
        <v>5.2083333333333339</v>
      </c>
      <c r="AX116" s="290">
        <f t="shared" ref="AX116:AX147" si="49" xml:space="preserve"> 30*(B116/B$148)^2</f>
        <v>4.4378698224852071</v>
      </c>
      <c r="AY116" s="257"/>
      <c r="AZ116" s="183"/>
      <c r="BA116" s="184"/>
      <c r="BB116" s="183"/>
      <c r="BC116" s="184"/>
      <c r="BD116" s="184"/>
      <c r="BE116" s="183"/>
      <c r="BF116" s="184"/>
      <c r="BG116" s="184"/>
      <c r="BH116" s="183"/>
      <c r="BI116" s="184"/>
      <c r="BJ116" s="184"/>
      <c r="BK116" s="183"/>
      <c r="BL116" s="184"/>
      <c r="BM116" s="184"/>
      <c r="BN116" s="183"/>
      <c r="BO116" s="184"/>
      <c r="BP116" s="183"/>
      <c r="BQ116" s="184"/>
      <c r="BR116" s="184"/>
      <c r="BS116" s="183"/>
      <c r="BT116" s="184"/>
      <c r="BU116" s="183"/>
      <c r="BV116" s="184"/>
      <c r="BW116" s="183"/>
      <c r="BX116" s="184"/>
      <c r="BY116" s="183"/>
      <c r="BZ116" s="184"/>
      <c r="CA116" s="183"/>
      <c r="CB116" s="184"/>
      <c r="CC116" s="183"/>
      <c r="CD116" s="184"/>
      <c r="CE116" s="183"/>
      <c r="CF116" s="184"/>
      <c r="CG116" s="183"/>
      <c r="CH116" s="184"/>
      <c r="CI116" s="183"/>
      <c r="CJ116" s="184"/>
      <c r="CK116" s="183"/>
      <c r="CL116" s="184"/>
      <c r="CM116" s="256"/>
    </row>
    <row r="117" spans="1:91" ht="10.5" customHeight="1" thickBot="1">
      <c r="A117" s="179" t="str">
        <f t="shared" si="24"/>
        <v/>
      </c>
      <c r="B117" s="190">
        <v>0.21</v>
      </c>
      <c r="C117" s="336"/>
      <c r="D117" s="335"/>
      <c r="E117" s="323"/>
      <c r="F117" s="331"/>
      <c r="G117" s="189"/>
      <c r="H117" s="188"/>
      <c r="I117" s="187"/>
      <c r="J117" s="187"/>
      <c r="K117" s="187"/>
      <c r="L117" s="331"/>
      <c r="M117" s="273"/>
      <c r="N117" s="187"/>
      <c r="O117" s="187"/>
      <c r="P117" s="187"/>
      <c r="Q117" s="187"/>
      <c r="R117" s="273"/>
      <c r="S117" s="186"/>
      <c r="T117" s="183"/>
      <c r="U117" s="186"/>
      <c r="V117" s="183"/>
      <c r="W117" s="184"/>
      <c r="X117" s="184"/>
      <c r="Y117" s="183"/>
      <c r="Z117" s="184"/>
      <c r="AA117" s="184"/>
      <c r="AB117" s="183"/>
      <c r="AC117" s="231"/>
      <c r="AD117" s="231"/>
      <c r="AE117" s="185"/>
      <c r="AF117" s="283"/>
      <c r="AG117" s="232"/>
      <c r="AH117" s="221">
        <f t="shared" si="43"/>
        <v>58.79999999999999</v>
      </c>
      <c r="AI117" s="337">
        <f t="shared" si="28"/>
        <v>45.778546712802758</v>
      </c>
      <c r="AJ117" s="214">
        <f t="shared" si="47"/>
        <v>40.833333333333343</v>
      </c>
      <c r="AK117" s="221">
        <f t="shared" si="32"/>
        <v>33.074999999999989</v>
      </c>
      <c r="AL117" s="330">
        <f xml:space="preserve"> 30*(B117/B$119)^2</f>
        <v>25.009451795841205</v>
      </c>
      <c r="AM117" s="214">
        <f t="shared" si="34"/>
        <v>25.009451795841205</v>
      </c>
      <c r="AN117" s="221">
        <f t="shared" si="35"/>
        <v>19.571005917159759</v>
      </c>
      <c r="AO117" s="315">
        <f t="shared" si="36"/>
        <v>19.571005917159759</v>
      </c>
      <c r="AP117" s="214">
        <f t="shared" si="38"/>
        <v>15.731272294887042</v>
      </c>
      <c r="AQ117" s="221">
        <f t="shared" si="40"/>
        <v>12.148760330578511</v>
      </c>
      <c r="AR117" s="312">
        <f t="shared" si="41"/>
        <v>11.444636678200689</v>
      </c>
      <c r="AS117" s="214">
        <f t="shared" si="42"/>
        <v>10.799999999999999</v>
      </c>
      <c r="AT117" s="221">
        <f t="shared" si="44"/>
        <v>8.6982248520710055</v>
      </c>
      <c r="AU117" s="214">
        <f t="shared" si="45"/>
        <v>7.1552190373174689</v>
      </c>
      <c r="AV117" s="298">
        <f t="shared" si="46"/>
        <v>6.8336776859504127</v>
      </c>
      <c r="AW117" s="221">
        <f t="shared" si="48"/>
        <v>5.7421875</v>
      </c>
      <c r="AX117" s="291">
        <f t="shared" si="49"/>
        <v>4.8927514792899398</v>
      </c>
      <c r="AY117" s="271">
        <f t="shared" ref="AY117:AY148" si="50" xml:space="preserve"> 30*(B117/B$149)^2</f>
        <v>4.7098611605553575</v>
      </c>
      <c r="AZ117" s="285"/>
      <c r="BA117" s="184"/>
      <c r="BB117" s="183"/>
      <c r="BC117" s="184"/>
      <c r="BD117" s="184"/>
      <c r="BE117" s="183"/>
      <c r="BF117" s="184"/>
      <c r="BG117" s="184"/>
      <c r="BH117" s="183"/>
      <c r="BI117" s="184"/>
      <c r="BJ117" s="184"/>
      <c r="BK117" s="183"/>
      <c r="BL117" s="184"/>
      <c r="BM117" s="184"/>
      <c r="BN117" s="183"/>
      <c r="BO117" s="184"/>
      <c r="BP117" s="183"/>
      <c r="BQ117" s="184"/>
      <c r="BR117" s="184"/>
      <c r="BS117" s="183"/>
      <c r="BT117" s="184"/>
      <c r="BU117" s="183"/>
      <c r="BV117" s="184"/>
      <c r="BW117" s="183"/>
      <c r="BX117" s="184"/>
      <c r="BY117" s="183"/>
      <c r="BZ117" s="184"/>
      <c r="CA117" s="183"/>
      <c r="CB117" s="184"/>
      <c r="CC117" s="183"/>
      <c r="CD117" s="184"/>
      <c r="CE117" s="183"/>
      <c r="CF117" s="184"/>
      <c r="CG117" s="183"/>
      <c r="CH117" s="184"/>
      <c r="CI117" s="183"/>
      <c r="CJ117" s="184"/>
      <c r="CK117" s="183"/>
      <c r="CL117" s="184"/>
      <c r="CM117" s="256"/>
    </row>
    <row r="118" spans="1:91" ht="10.5" customHeight="1" thickBot="1">
      <c r="A118" s="179" t="str">
        <f t="shared" si="24"/>
        <v/>
      </c>
      <c r="B118" s="213">
        <v>0.22</v>
      </c>
      <c r="C118" s="341"/>
      <c r="D118" s="340"/>
      <c r="E118" s="321"/>
      <c r="F118" s="328"/>
      <c r="G118" s="212"/>
      <c r="H118" s="211"/>
      <c r="I118" s="210"/>
      <c r="J118" s="210"/>
      <c r="K118" s="210"/>
      <c r="L118" s="328"/>
      <c r="M118" s="270"/>
      <c r="N118" s="210"/>
      <c r="O118" s="210"/>
      <c r="P118" s="210"/>
      <c r="Q118" s="210"/>
      <c r="R118" s="270"/>
      <c r="S118" s="209"/>
      <c r="T118" s="207"/>
      <c r="U118" s="209"/>
      <c r="V118" s="207"/>
      <c r="W118" s="206"/>
      <c r="X118" s="206"/>
      <c r="Y118" s="207"/>
      <c r="Z118" s="206"/>
      <c r="AA118" s="206"/>
      <c r="AB118" s="207"/>
      <c r="AC118" s="277"/>
      <c r="AD118" s="277"/>
      <c r="AE118" s="208"/>
      <c r="AF118" s="206"/>
      <c r="AG118" s="239"/>
      <c r="AH118" s="225">
        <f t="shared" si="43"/>
        <v>64.533333333333346</v>
      </c>
      <c r="AI118" s="334">
        <f t="shared" si="28"/>
        <v>50.242214532871962</v>
      </c>
      <c r="AJ118" s="219">
        <f t="shared" si="47"/>
        <v>44.814814814814824</v>
      </c>
      <c r="AK118" s="225">
        <f t="shared" si="32"/>
        <v>36.29999999999999</v>
      </c>
      <c r="AL118" s="332">
        <f xml:space="preserve"> 30*(B118/B$118)^2</f>
        <v>30</v>
      </c>
      <c r="AM118" s="219">
        <f t="shared" si="34"/>
        <v>27.448015122873343</v>
      </c>
      <c r="AN118" s="225">
        <f t="shared" si="35"/>
        <v>21.479289940828401</v>
      </c>
      <c r="AO118" s="316">
        <f t="shared" si="36"/>
        <v>21.479289940828401</v>
      </c>
      <c r="AP118" s="219">
        <f t="shared" si="38"/>
        <v>17.265160523186687</v>
      </c>
      <c r="AQ118" s="225">
        <f t="shared" si="40"/>
        <v>13.333333333333332</v>
      </c>
      <c r="AR118" s="310">
        <f t="shared" si="41"/>
        <v>12.560553633217991</v>
      </c>
      <c r="AS118" s="219">
        <f t="shared" si="42"/>
        <v>11.853061224489799</v>
      </c>
      <c r="AT118" s="225">
        <f t="shared" si="44"/>
        <v>9.5463510848126241</v>
      </c>
      <c r="AU118" s="219">
        <f t="shared" si="45"/>
        <v>7.8528934559221213</v>
      </c>
      <c r="AV118" s="301">
        <f t="shared" si="46"/>
        <v>7.5</v>
      </c>
      <c r="AW118" s="225">
        <f t="shared" si="48"/>
        <v>6.3020833333333339</v>
      </c>
      <c r="AX118" s="290">
        <f t="shared" si="49"/>
        <v>5.3698224852071004</v>
      </c>
      <c r="AY118" s="203">
        <f t="shared" si="50"/>
        <v>5.1690993236027047</v>
      </c>
      <c r="AZ118" s="268"/>
      <c r="BA118" s="206"/>
      <c r="BB118" s="207"/>
      <c r="BC118" s="206"/>
      <c r="BD118" s="206"/>
      <c r="BE118" s="207"/>
      <c r="BF118" s="206"/>
      <c r="BG118" s="206"/>
      <c r="BH118" s="207"/>
      <c r="BI118" s="206"/>
      <c r="BJ118" s="206"/>
      <c r="BK118" s="207"/>
      <c r="BL118" s="206"/>
      <c r="BM118" s="206"/>
      <c r="BN118" s="207"/>
      <c r="BO118" s="206"/>
      <c r="BP118" s="207"/>
      <c r="BQ118" s="206"/>
      <c r="BR118" s="206"/>
      <c r="BS118" s="207"/>
      <c r="BT118" s="206"/>
      <c r="BU118" s="207"/>
      <c r="BV118" s="206"/>
      <c r="BW118" s="207"/>
      <c r="BX118" s="206"/>
      <c r="BY118" s="207"/>
      <c r="BZ118" s="206"/>
      <c r="CA118" s="207"/>
      <c r="CB118" s="206"/>
      <c r="CC118" s="207"/>
      <c r="CD118" s="206"/>
      <c r="CE118" s="207"/>
      <c r="CF118" s="206"/>
      <c r="CG118" s="207"/>
      <c r="CH118" s="206"/>
      <c r="CI118" s="207"/>
      <c r="CJ118" s="206"/>
      <c r="CK118" s="207"/>
      <c r="CL118" s="206"/>
      <c r="CM118" s="254"/>
    </row>
    <row r="119" spans="1:91" ht="10.5" customHeight="1" thickBot="1">
      <c r="A119" s="179" t="str">
        <f t="shared" si="24"/>
        <v/>
      </c>
      <c r="B119" s="201">
        <v>0.23</v>
      </c>
      <c r="C119" s="339"/>
      <c r="D119" s="338"/>
      <c r="E119" s="319"/>
      <c r="F119" s="325"/>
      <c r="G119" s="200"/>
      <c r="H119" s="199"/>
      <c r="I119" s="198"/>
      <c r="J119" s="198"/>
      <c r="K119" s="198"/>
      <c r="L119" s="325"/>
      <c r="M119" s="267"/>
      <c r="N119" s="198"/>
      <c r="O119" s="198"/>
      <c r="P119" s="198"/>
      <c r="Q119" s="198"/>
      <c r="R119" s="267"/>
      <c r="S119" s="197"/>
      <c r="T119" s="194"/>
      <c r="U119" s="197"/>
      <c r="V119" s="194"/>
      <c r="W119" s="195"/>
      <c r="X119" s="195"/>
      <c r="Y119" s="194"/>
      <c r="Z119" s="195"/>
      <c r="AA119" s="195"/>
      <c r="AB119" s="194"/>
      <c r="AC119" s="318"/>
      <c r="AD119" s="318"/>
      <c r="AE119" s="196"/>
      <c r="AF119" s="195"/>
      <c r="AG119" s="193"/>
      <c r="AH119" s="220">
        <f t="shared" si="43"/>
        <v>70.533333333333346</v>
      </c>
      <c r="AI119" s="337">
        <f t="shared" si="28"/>
        <v>54.913494809688572</v>
      </c>
      <c r="AJ119" s="217">
        <f t="shared" si="47"/>
        <v>48.981481481481495</v>
      </c>
      <c r="AK119" s="223">
        <f t="shared" si="32"/>
        <v>39.674999999999997</v>
      </c>
      <c r="AL119" s="330">
        <f xml:space="preserve"> 30*(B119/B$119)^2</f>
        <v>30</v>
      </c>
      <c r="AM119" s="234">
        <v>30</v>
      </c>
      <c r="AN119" s="223">
        <f t="shared" si="35"/>
        <v>23.476331360946745</v>
      </c>
      <c r="AO119" s="315">
        <f t="shared" si="36"/>
        <v>23.476331360946745</v>
      </c>
      <c r="AP119" s="217">
        <f t="shared" si="38"/>
        <v>18.870392390011897</v>
      </c>
      <c r="AQ119" s="223">
        <f t="shared" si="40"/>
        <v>14.573002754820939</v>
      </c>
      <c r="AR119" s="312">
        <f t="shared" si="41"/>
        <v>13.728373702422143</v>
      </c>
      <c r="AS119" s="217">
        <f t="shared" si="42"/>
        <v>12.95510204081633</v>
      </c>
      <c r="AT119" s="223">
        <f t="shared" si="44"/>
        <v>10.433925049309666</v>
      </c>
      <c r="AU119" s="217">
        <f t="shared" si="45"/>
        <v>8.5830178474851291</v>
      </c>
      <c r="AV119" s="298">
        <f t="shared" si="46"/>
        <v>8.197314049586776</v>
      </c>
      <c r="AW119" s="223">
        <f t="shared" si="48"/>
        <v>6.8880208333333339</v>
      </c>
      <c r="AX119" s="291">
        <f t="shared" si="49"/>
        <v>5.8690828402366861</v>
      </c>
      <c r="AY119" s="217">
        <f t="shared" si="50"/>
        <v>5.6496974012103962</v>
      </c>
      <c r="AZ119" s="274">
        <f t="shared" ref="AZ119:AZ152" si="51" xml:space="preserve"> 30*(B119/B$153)^2</f>
        <v>4.8845798707294561</v>
      </c>
      <c r="BA119" s="257"/>
      <c r="BB119" s="196"/>
      <c r="BC119" s="195"/>
      <c r="BD119" s="195"/>
      <c r="BE119" s="194"/>
      <c r="BF119" s="195"/>
      <c r="BG119" s="195"/>
      <c r="BH119" s="194"/>
      <c r="BI119" s="195"/>
      <c r="BJ119" s="195"/>
      <c r="BK119" s="194"/>
      <c r="BL119" s="195"/>
      <c r="BM119" s="195"/>
      <c r="BN119" s="194"/>
      <c r="BO119" s="195"/>
      <c r="BP119" s="194"/>
      <c r="BQ119" s="195"/>
      <c r="BR119" s="195"/>
      <c r="BS119" s="194"/>
      <c r="BT119" s="195"/>
      <c r="BU119" s="194"/>
      <c r="BV119" s="195"/>
      <c r="BW119" s="194"/>
      <c r="BX119" s="195"/>
      <c r="BY119" s="194"/>
      <c r="BZ119" s="195"/>
      <c r="CA119" s="194"/>
      <c r="CB119" s="195"/>
      <c r="CC119" s="194"/>
      <c r="CD119" s="195"/>
      <c r="CE119" s="194"/>
      <c r="CF119" s="195"/>
      <c r="CG119" s="194"/>
      <c r="CH119" s="195"/>
      <c r="CI119" s="194"/>
      <c r="CJ119" s="195"/>
      <c r="CK119" s="194"/>
      <c r="CL119" s="195"/>
      <c r="CM119" s="258"/>
    </row>
    <row r="120" spans="1:91" ht="10.5" customHeight="1" thickBot="1">
      <c r="A120" s="179" t="str">
        <f t="shared" si="24"/>
        <v/>
      </c>
      <c r="B120" s="190">
        <v>0.24</v>
      </c>
      <c r="C120" s="336"/>
      <c r="D120" s="335"/>
      <c r="E120" s="323"/>
      <c r="F120" s="331"/>
      <c r="G120" s="189"/>
      <c r="H120" s="188"/>
      <c r="I120" s="187"/>
      <c r="J120" s="187"/>
      <c r="K120" s="187"/>
      <c r="L120" s="331"/>
      <c r="M120" s="273"/>
      <c r="N120" s="187"/>
      <c r="O120" s="187"/>
      <c r="P120" s="187"/>
      <c r="Q120" s="187"/>
      <c r="R120" s="273"/>
      <c r="S120" s="186"/>
      <c r="T120" s="183"/>
      <c r="U120" s="186"/>
      <c r="V120" s="183"/>
      <c r="W120" s="184"/>
      <c r="X120" s="184"/>
      <c r="Y120" s="183"/>
      <c r="Z120" s="184"/>
      <c r="AA120" s="184"/>
      <c r="AB120" s="183"/>
      <c r="AC120" s="231"/>
      <c r="AD120" s="231"/>
      <c r="AE120" s="185"/>
      <c r="AF120" s="231"/>
      <c r="AG120" s="231"/>
      <c r="AH120" s="216"/>
      <c r="AI120" s="334">
        <f t="shared" si="28"/>
        <v>59.792387543252588</v>
      </c>
      <c r="AJ120" s="214">
        <f t="shared" si="47"/>
        <v>53.333333333333329</v>
      </c>
      <c r="AK120" s="221">
        <f t="shared" si="32"/>
        <v>43.199999999999996</v>
      </c>
      <c r="AL120" s="332">
        <f xml:space="preserve"> 30*(B120/B$118)^2</f>
        <v>35.70247933884297</v>
      </c>
      <c r="AM120" s="214">
        <f t="shared" ref="AM120:AM132" si="52" xml:space="preserve"> 30*(B120/B$119)^2</f>
        <v>32.665406427221171</v>
      </c>
      <c r="AN120" s="221">
        <f t="shared" si="35"/>
        <v>25.562130177514788</v>
      </c>
      <c r="AO120" s="316">
        <f t="shared" si="36"/>
        <v>25.562130177514788</v>
      </c>
      <c r="AP120" s="214">
        <f t="shared" si="38"/>
        <v>20.546967895362663</v>
      </c>
      <c r="AQ120" s="221">
        <f t="shared" si="40"/>
        <v>15.867768595041319</v>
      </c>
      <c r="AR120" s="310">
        <f t="shared" si="41"/>
        <v>14.948096885813147</v>
      </c>
      <c r="AS120" s="214">
        <f t="shared" si="42"/>
        <v>14.106122448979592</v>
      </c>
      <c r="AT120" s="221">
        <f t="shared" si="44"/>
        <v>11.360946745562126</v>
      </c>
      <c r="AU120" s="214">
        <f t="shared" si="45"/>
        <v>9.3455922120064905</v>
      </c>
      <c r="AV120" s="301">
        <f t="shared" si="46"/>
        <v>8.9256198347107425</v>
      </c>
      <c r="AW120" s="221">
        <f t="shared" si="48"/>
        <v>7.5</v>
      </c>
      <c r="AX120" s="290">
        <f t="shared" si="49"/>
        <v>6.3905325443786971</v>
      </c>
      <c r="AY120" s="214">
        <f t="shared" si="50"/>
        <v>6.1516553933784248</v>
      </c>
      <c r="AZ120" s="221">
        <f t="shared" si="51"/>
        <v>5.3185595567867043</v>
      </c>
      <c r="BA120" s="271">
        <f t="shared" ref="BA120:BA155" si="53" xml:space="preserve"> 30*(B120/B$156)^2</f>
        <v>4.8000000000000007</v>
      </c>
      <c r="BB120" s="261"/>
      <c r="BC120" s="184"/>
      <c r="BD120" s="184"/>
      <c r="BE120" s="183"/>
      <c r="BF120" s="184"/>
      <c r="BG120" s="184"/>
      <c r="BH120" s="183"/>
      <c r="BI120" s="184"/>
      <c r="BJ120" s="184"/>
      <c r="BK120" s="183"/>
      <c r="BL120" s="184"/>
      <c r="BM120" s="184"/>
      <c r="BN120" s="183"/>
      <c r="BO120" s="184"/>
      <c r="BP120" s="183"/>
      <c r="BQ120" s="184"/>
      <c r="BR120" s="184"/>
      <c r="BS120" s="183"/>
      <c r="BT120" s="184"/>
      <c r="BU120" s="183"/>
      <c r="BV120" s="184"/>
      <c r="BW120" s="183"/>
      <c r="BX120" s="184"/>
      <c r="BY120" s="183"/>
      <c r="BZ120" s="184"/>
      <c r="CA120" s="183"/>
      <c r="CB120" s="184"/>
      <c r="CC120" s="183"/>
      <c r="CD120" s="184"/>
      <c r="CE120" s="183"/>
      <c r="CF120" s="184"/>
      <c r="CG120" s="183"/>
      <c r="CH120" s="184"/>
      <c r="CI120" s="183"/>
      <c r="CJ120" s="184"/>
      <c r="CK120" s="183"/>
      <c r="CL120" s="184"/>
      <c r="CM120" s="256"/>
    </row>
    <row r="121" spans="1:91" ht="10.5" customHeight="1" thickBot="1">
      <c r="A121" s="179" t="str">
        <f t="shared" si="24"/>
        <v/>
      </c>
      <c r="B121" s="190">
        <v>0.25</v>
      </c>
      <c r="C121" s="336"/>
      <c r="D121" s="335"/>
      <c r="E121" s="323"/>
      <c r="F121" s="331"/>
      <c r="G121" s="189"/>
      <c r="H121" s="188"/>
      <c r="I121" s="187"/>
      <c r="J121" s="187"/>
      <c r="K121" s="187"/>
      <c r="L121" s="331"/>
      <c r="M121" s="273"/>
      <c r="N121" s="187"/>
      <c r="O121" s="187"/>
      <c r="P121" s="187"/>
      <c r="Q121" s="187"/>
      <c r="R121" s="187"/>
      <c r="S121" s="186"/>
      <c r="T121" s="183"/>
      <c r="U121" s="186"/>
      <c r="V121" s="183"/>
      <c r="W121" s="184"/>
      <c r="X121" s="184"/>
      <c r="Y121" s="183"/>
      <c r="Z121" s="184"/>
      <c r="AA121" s="184"/>
      <c r="AB121" s="183"/>
      <c r="AC121" s="231"/>
      <c r="AD121" s="231"/>
      <c r="AE121" s="185"/>
      <c r="AF121" s="231"/>
      <c r="AG121" s="231"/>
      <c r="AH121" s="216"/>
      <c r="AI121" s="334">
        <f t="shared" si="28"/>
        <v>64.878892733564001</v>
      </c>
      <c r="AJ121" s="214">
        <f t="shared" si="47"/>
        <v>57.870370370370367</v>
      </c>
      <c r="AK121" s="221">
        <f t="shared" si="32"/>
        <v>46.875</v>
      </c>
      <c r="AL121" s="330">
        <f xml:space="preserve"> 30*(B121/B$119)^2</f>
        <v>35.444234404536857</v>
      </c>
      <c r="AM121" s="214">
        <f t="shared" si="52"/>
        <v>35.444234404536857</v>
      </c>
      <c r="AN121" s="221">
        <f t="shared" si="35"/>
        <v>27.736686390532537</v>
      </c>
      <c r="AO121" s="315">
        <f t="shared" si="36"/>
        <v>27.736686390532537</v>
      </c>
      <c r="AP121" s="214">
        <f t="shared" si="38"/>
        <v>22.294887039239004</v>
      </c>
      <c r="AQ121" s="221">
        <f t="shared" si="40"/>
        <v>17.217630853994489</v>
      </c>
      <c r="AR121" s="312">
        <f t="shared" si="41"/>
        <v>16.219723183391</v>
      </c>
      <c r="AS121" s="214">
        <f t="shared" si="42"/>
        <v>15.306122448979592</v>
      </c>
      <c r="AT121" s="221">
        <f t="shared" si="44"/>
        <v>12.327416173570017</v>
      </c>
      <c r="AU121" s="214">
        <f t="shared" si="45"/>
        <v>10.140616549486209</v>
      </c>
      <c r="AV121" s="298">
        <f t="shared" si="46"/>
        <v>9.684917355371903</v>
      </c>
      <c r="AW121" s="221">
        <f t="shared" si="48"/>
        <v>8.1380208333333357</v>
      </c>
      <c r="AX121" s="291">
        <f t="shared" si="49"/>
        <v>6.9341715976331342</v>
      </c>
      <c r="AY121" s="214">
        <f t="shared" si="50"/>
        <v>6.6749733001067977</v>
      </c>
      <c r="AZ121" s="221">
        <f t="shared" si="51"/>
        <v>5.7710064635272396</v>
      </c>
      <c r="BA121" s="181">
        <f t="shared" si="53"/>
        <v>5.2083333333333339</v>
      </c>
      <c r="BB121" s="261"/>
      <c r="BC121" s="184"/>
      <c r="BD121" s="184"/>
      <c r="BE121" s="183"/>
      <c r="BF121" s="184"/>
      <c r="BG121" s="184"/>
      <c r="BH121" s="183"/>
      <c r="BI121" s="184"/>
      <c r="BJ121" s="184"/>
      <c r="BK121" s="183"/>
      <c r="BL121" s="184"/>
      <c r="BM121" s="184"/>
      <c r="BN121" s="183"/>
      <c r="BO121" s="184"/>
      <c r="BP121" s="183"/>
      <c r="BQ121" s="184"/>
      <c r="BR121" s="184"/>
      <c r="BS121" s="183"/>
      <c r="BT121" s="184"/>
      <c r="BU121" s="183"/>
      <c r="BV121" s="184"/>
      <c r="BW121" s="183"/>
      <c r="BX121" s="184"/>
      <c r="BY121" s="183"/>
      <c r="BZ121" s="184"/>
      <c r="CA121" s="183"/>
      <c r="CB121" s="184"/>
      <c r="CC121" s="183"/>
      <c r="CD121" s="184"/>
      <c r="CE121" s="183"/>
      <c r="CF121" s="184"/>
      <c r="CG121" s="183"/>
      <c r="CH121" s="184"/>
      <c r="CI121" s="183"/>
      <c r="CJ121" s="184"/>
      <c r="CK121" s="183"/>
      <c r="CL121" s="184"/>
      <c r="CM121" s="256"/>
    </row>
    <row r="122" spans="1:91" ht="10.5" customHeight="1">
      <c r="A122" s="179" t="str">
        <f t="shared" si="24"/>
        <v/>
      </c>
      <c r="B122" s="213">
        <v>0.26</v>
      </c>
      <c r="C122" s="212"/>
      <c r="D122" s="212"/>
      <c r="E122" s="321"/>
      <c r="F122" s="328"/>
      <c r="G122" s="212"/>
      <c r="H122" s="211"/>
      <c r="I122" s="210"/>
      <c r="J122" s="210"/>
      <c r="K122" s="210"/>
      <c r="L122" s="328"/>
      <c r="M122" s="270"/>
      <c r="N122" s="210"/>
      <c r="O122" s="210"/>
      <c r="P122" s="210"/>
      <c r="Q122" s="210"/>
      <c r="R122" s="210"/>
      <c r="S122" s="209"/>
      <c r="T122" s="207"/>
      <c r="U122" s="209"/>
      <c r="V122" s="207"/>
      <c r="W122" s="206"/>
      <c r="X122" s="206"/>
      <c r="Y122" s="207"/>
      <c r="Z122" s="206"/>
      <c r="AA122" s="206"/>
      <c r="AB122" s="207"/>
      <c r="AC122" s="277"/>
      <c r="AD122" s="277"/>
      <c r="AE122" s="208"/>
      <c r="AF122" s="277"/>
      <c r="AG122" s="277"/>
      <c r="AH122" s="230"/>
      <c r="AI122" s="334">
        <f t="shared" si="28"/>
        <v>70.173010380622827</v>
      </c>
      <c r="AJ122" s="219">
        <f t="shared" si="47"/>
        <v>62.592592592592602</v>
      </c>
      <c r="AK122" s="225">
        <f t="shared" si="32"/>
        <v>50.7</v>
      </c>
      <c r="AL122" s="332">
        <f xml:space="preserve"> 30*(B122/B$118)^2</f>
        <v>41.900826446281002</v>
      </c>
      <c r="AM122" s="219">
        <f t="shared" si="52"/>
        <v>38.336483931947065</v>
      </c>
      <c r="AN122" s="241">
        <v>30</v>
      </c>
      <c r="AO122" s="316">
        <f t="shared" si="36"/>
        <v>30</v>
      </c>
      <c r="AP122" s="219">
        <f t="shared" si="38"/>
        <v>24.114149821640908</v>
      </c>
      <c r="AQ122" s="225">
        <f t="shared" si="40"/>
        <v>18.62258953168044</v>
      </c>
      <c r="AR122" s="310">
        <f t="shared" si="41"/>
        <v>17.543252595155707</v>
      </c>
      <c r="AS122" s="219">
        <f t="shared" si="42"/>
        <v>16.55510204081633</v>
      </c>
      <c r="AT122" s="225">
        <f t="shared" si="44"/>
        <v>13.333333333333332</v>
      </c>
      <c r="AU122" s="219">
        <f t="shared" si="45"/>
        <v>10.968090859924285</v>
      </c>
      <c r="AV122" s="301">
        <f t="shared" si="46"/>
        <v>10.47520661157025</v>
      </c>
      <c r="AW122" s="225">
        <f t="shared" si="48"/>
        <v>8.8020833333333357</v>
      </c>
      <c r="AX122" s="290">
        <f t="shared" si="49"/>
        <v>7.5</v>
      </c>
      <c r="AY122" s="219">
        <f t="shared" si="50"/>
        <v>7.2196511213955139</v>
      </c>
      <c r="AZ122" s="225">
        <f t="shared" si="51"/>
        <v>6.2419205909510627</v>
      </c>
      <c r="BA122" s="219">
        <f t="shared" si="53"/>
        <v>5.6333333333333337</v>
      </c>
      <c r="BB122" s="240">
        <f t="shared" ref="BB122:BB162" si="54" xml:space="preserve"> 30*(B122/B$163)^2</f>
        <v>4.5177099576743149</v>
      </c>
      <c r="BC122" s="255"/>
      <c r="BD122" s="278" t="s">
        <v>3553</v>
      </c>
      <c r="BE122" s="207"/>
      <c r="BF122" s="206"/>
      <c r="BG122" s="206"/>
      <c r="BH122" s="207"/>
      <c r="BI122" s="206"/>
      <c r="BJ122" s="206"/>
      <c r="BK122" s="207"/>
      <c r="BL122" s="206"/>
      <c r="BM122" s="206"/>
      <c r="BN122" s="207"/>
      <c r="BO122" s="206"/>
      <c r="BP122" s="207"/>
      <c r="BQ122" s="206"/>
      <c r="BR122" s="206"/>
      <c r="BS122" s="207"/>
      <c r="BT122" s="206"/>
      <c r="BU122" s="207"/>
      <c r="BV122" s="206"/>
      <c r="BW122" s="207"/>
      <c r="BX122" s="206"/>
      <c r="BY122" s="207"/>
      <c r="BZ122" s="206"/>
      <c r="CA122" s="207"/>
      <c r="CB122" s="206"/>
      <c r="CC122" s="207"/>
      <c r="CD122" s="206"/>
      <c r="CE122" s="207"/>
      <c r="CF122" s="206"/>
      <c r="CG122" s="207"/>
      <c r="CH122" s="206"/>
      <c r="CI122" s="207"/>
      <c r="CJ122" s="206"/>
      <c r="CK122" s="207"/>
      <c r="CL122" s="206"/>
      <c r="CM122" s="254"/>
    </row>
    <row r="123" spans="1:91" ht="10.5" customHeight="1" thickBot="1">
      <c r="A123" s="179" t="str">
        <f t="shared" si="24"/>
        <v/>
      </c>
      <c r="B123" s="201">
        <v>0.27</v>
      </c>
      <c r="C123" s="200"/>
      <c r="D123" s="200"/>
      <c r="E123" s="319"/>
      <c r="F123" s="325"/>
      <c r="G123" s="200"/>
      <c r="H123" s="199"/>
      <c r="I123" s="198"/>
      <c r="J123" s="198"/>
      <c r="K123" s="198"/>
      <c r="L123" s="325"/>
      <c r="M123" s="267"/>
      <c r="N123" s="198"/>
      <c r="O123" s="198"/>
      <c r="P123" s="198"/>
      <c r="Q123" s="198"/>
      <c r="R123" s="198"/>
      <c r="S123" s="197"/>
      <c r="T123" s="194"/>
      <c r="U123" s="197"/>
      <c r="V123" s="194"/>
      <c r="W123" s="195"/>
      <c r="X123" s="195"/>
      <c r="Y123" s="194"/>
      <c r="Z123" s="195"/>
      <c r="AA123" s="195"/>
      <c r="AB123" s="194"/>
      <c r="AC123" s="318"/>
      <c r="AD123" s="318"/>
      <c r="AE123" s="196"/>
      <c r="AF123" s="195"/>
      <c r="AG123" s="195"/>
      <c r="AH123" s="218"/>
      <c r="AI123" s="333">
        <f t="shared" si="28"/>
        <v>75.674740484429066</v>
      </c>
      <c r="AJ123" s="217">
        <f t="shared" si="47"/>
        <v>67.500000000000028</v>
      </c>
      <c r="AK123" s="223">
        <f t="shared" si="32"/>
        <v>54.675000000000004</v>
      </c>
      <c r="AL123" s="330">
        <f xml:space="preserve"> 30*(B123/B$119)^2</f>
        <v>41.342155009451801</v>
      </c>
      <c r="AM123" s="217">
        <f t="shared" si="52"/>
        <v>41.342155009451801</v>
      </c>
      <c r="AN123" s="223">
        <f t="shared" ref="AN123:AN136" si="55" xml:space="preserve"> 30*(B123/B$122)^2</f>
        <v>32.352071005917168</v>
      </c>
      <c r="AO123" s="315">
        <f t="shared" si="36"/>
        <v>32.352071005917168</v>
      </c>
      <c r="AP123" s="217">
        <f t="shared" si="38"/>
        <v>26.004756242568373</v>
      </c>
      <c r="AQ123" s="223">
        <f t="shared" si="40"/>
        <v>20.082644628099178</v>
      </c>
      <c r="AR123" s="312">
        <f t="shared" si="41"/>
        <v>18.918685121107266</v>
      </c>
      <c r="AS123" s="217">
        <f t="shared" si="42"/>
        <v>17.853061224489803</v>
      </c>
      <c r="AT123" s="223">
        <f t="shared" si="44"/>
        <v>14.378698224852069</v>
      </c>
      <c r="AU123" s="217">
        <f t="shared" si="45"/>
        <v>11.828015143320714</v>
      </c>
      <c r="AV123" s="298">
        <f t="shared" si="46"/>
        <v>11.296487603305785</v>
      </c>
      <c r="AW123" s="223">
        <f t="shared" si="48"/>
        <v>9.4921875000000036</v>
      </c>
      <c r="AX123" s="291">
        <f t="shared" si="49"/>
        <v>8.0880177514792919</v>
      </c>
      <c r="AY123" s="217">
        <f t="shared" si="50"/>
        <v>7.7856888572445717</v>
      </c>
      <c r="AZ123" s="223">
        <f t="shared" si="51"/>
        <v>6.7313019390581736</v>
      </c>
      <c r="BA123" s="217">
        <f t="shared" si="53"/>
        <v>6.075000000000002</v>
      </c>
      <c r="BB123" s="191">
        <f t="shared" si="54"/>
        <v>4.8719091111606154</v>
      </c>
      <c r="BC123" s="257"/>
      <c r="BD123" s="257"/>
      <c r="BE123" s="194"/>
      <c r="BF123" s="195"/>
      <c r="BG123" s="195"/>
      <c r="BH123" s="194"/>
      <c r="BI123" s="195"/>
      <c r="BJ123" s="195"/>
      <c r="BK123" s="194"/>
      <c r="BL123" s="195"/>
      <c r="BM123" s="195"/>
      <c r="BN123" s="194"/>
      <c r="BO123" s="195"/>
      <c r="BP123" s="194"/>
      <c r="BQ123" s="195"/>
      <c r="BR123" s="195"/>
      <c r="BS123" s="194"/>
      <c r="BT123" s="195"/>
      <c r="BU123" s="194"/>
      <c r="BV123" s="195"/>
      <c r="BW123" s="194"/>
      <c r="BX123" s="195"/>
      <c r="BY123" s="194"/>
      <c r="BZ123" s="195"/>
      <c r="CA123" s="194"/>
      <c r="CB123" s="195"/>
      <c r="CC123" s="194"/>
      <c r="CD123" s="195"/>
      <c r="CE123" s="194"/>
      <c r="CF123" s="195"/>
      <c r="CG123" s="194"/>
      <c r="CH123" s="195"/>
      <c r="CI123" s="194"/>
      <c r="CJ123" s="195"/>
      <c r="CK123" s="194"/>
      <c r="CL123" s="195"/>
      <c r="CM123" s="258"/>
    </row>
    <row r="124" spans="1:91" ht="10.5" customHeight="1" thickBot="1">
      <c r="A124" s="179" t="str">
        <f t="shared" si="24"/>
        <v/>
      </c>
      <c r="B124" s="190">
        <v>0.28000000000000003</v>
      </c>
      <c r="C124" s="189"/>
      <c r="D124" s="189"/>
      <c r="E124" s="323"/>
      <c r="F124" s="331"/>
      <c r="G124" s="189"/>
      <c r="H124" s="188"/>
      <c r="I124" s="187"/>
      <c r="J124" s="187"/>
      <c r="K124" s="187"/>
      <c r="L124" s="331"/>
      <c r="M124" s="273"/>
      <c r="N124" s="187"/>
      <c r="O124" s="187"/>
      <c r="P124" s="187"/>
      <c r="Q124" s="187"/>
      <c r="R124" s="187"/>
      <c r="S124" s="186"/>
      <c r="T124" s="183"/>
      <c r="U124" s="186"/>
      <c r="V124" s="183"/>
      <c r="W124" s="184"/>
      <c r="X124" s="184"/>
      <c r="Y124" s="183"/>
      <c r="Z124" s="184"/>
      <c r="AA124" s="184"/>
      <c r="AB124" s="183"/>
      <c r="AC124" s="231"/>
      <c r="AD124" s="231"/>
      <c r="AE124" s="185"/>
      <c r="AF124" s="184"/>
      <c r="AG124" s="184"/>
      <c r="AH124" s="216"/>
      <c r="AI124" s="232"/>
      <c r="AJ124" s="227">
        <f t="shared" si="47"/>
        <v>72.592592592592624</v>
      </c>
      <c r="AK124" s="221">
        <f t="shared" si="32"/>
        <v>58.800000000000011</v>
      </c>
      <c r="AL124" s="332">
        <f xml:space="preserve"> 30*(B124/B$118)^2</f>
        <v>48.595041322314067</v>
      </c>
      <c r="AM124" s="214">
        <f t="shared" si="52"/>
        <v>44.461247637051045</v>
      </c>
      <c r="AN124" s="221">
        <f t="shared" si="55"/>
        <v>34.792899408284036</v>
      </c>
      <c r="AO124" s="316">
        <f t="shared" si="36"/>
        <v>34.792899408284036</v>
      </c>
      <c r="AP124" s="214">
        <f t="shared" si="38"/>
        <v>27.966706302021414</v>
      </c>
      <c r="AQ124" s="221">
        <f t="shared" si="40"/>
        <v>21.59779614325069</v>
      </c>
      <c r="AR124" s="310">
        <f t="shared" si="41"/>
        <v>20.346020761245676</v>
      </c>
      <c r="AS124" s="214">
        <f t="shared" si="42"/>
        <v>19.200000000000006</v>
      </c>
      <c r="AT124" s="221">
        <f t="shared" si="44"/>
        <v>15.463510848126234</v>
      </c>
      <c r="AU124" s="214">
        <f t="shared" si="45"/>
        <v>12.720389399675502</v>
      </c>
      <c r="AV124" s="301">
        <f t="shared" si="46"/>
        <v>12.148760330578517</v>
      </c>
      <c r="AW124" s="221">
        <f t="shared" si="48"/>
        <v>10.208333333333336</v>
      </c>
      <c r="AX124" s="290">
        <f t="shared" si="49"/>
        <v>8.698224852071009</v>
      </c>
      <c r="AY124" s="214">
        <f t="shared" si="50"/>
        <v>8.3730865076539693</v>
      </c>
      <c r="AZ124" s="221">
        <f t="shared" si="51"/>
        <v>7.2391505078485716</v>
      </c>
      <c r="BA124" s="214">
        <f t="shared" si="53"/>
        <v>6.533333333333335</v>
      </c>
      <c r="BB124" s="221">
        <f t="shared" si="54"/>
        <v>5.2394742704388513</v>
      </c>
      <c r="BC124" s="271">
        <f t="shared" ref="BC124:BC155" si="56" xml:space="preserve"> 30*(B124/B$165)^2</f>
        <v>4.9401386263390066</v>
      </c>
      <c r="BD124" s="271">
        <f t="shared" ref="BD124:BD166" si="57" xml:space="preserve"> 30*(B124/B$167)^2</f>
        <v>4.6657409244197581</v>
      </c>
      <c r="BE124" s="261"/>
      <c r="BF124" s="184"/>
      <c r="BG124" s="184"/>
      <c r="BH124" s="183"/>
      <c r="BI124" s="184"/>
      <c r="BJ124" s="184"/>
      <c r="BK124" s="183"/>
      <c r="BL124" s="184"/>
      <c r="BM124" s="184"/>
      <c r="BN124" s="183"/>
      <c r="BO124" s="184"/>
      <c r="BP124" s="183"/>
      <c r="BQ124" s="184"/>
      <c r="BR124" s="184"/>
      <c r="BS124" s="183"/>
      <c r="BT124" s="184"/>
      <c r="BU124" s="183"/>
      <c r="BV124" s="184"/>
      <c r="BW124" s="183"/>
      <c r="BX124" s="184"/>
      <c r="BY124" s="183"/>
      <c r="BZ124" s="184"/>
      <c r="CA124" s="183"/>
      <c r="CB124" s="184"/>
      <c r="CC124" s="183"/>
      <c r="CD124" s="184"/>
      <c r="CE124" s="183"/>
      <c r="CF124" s="184"/>
      <c r="CG124" s="183"/>
      <c r="CH124" s="184"/>
      <c r="CI124" s="183"/>
      <c r="CJ124" s="184"/>
      <c r="CK124" s="183"/>
      <c r="CL124" s="184"/>
      <c r="CM124" s="256"/>
    </row>
    <row r="125" spans="1:91" ht="10.5" customHeight="1" thickBot="1">
      <c r="A125" s="179" t="str">
        <f t="shared" si="24"/>
        <v/>
      </c>
      <c r="B125" s="190">
        <v>0.28999999999999998</v>
      </c>
      <c r="C125" s="189"/>
      <c r="D125" s="189"/>
      <c r="E125" s="323"/>
      <c r="F125" s="331"/>
      <c r="G125" s="189"/>
      <c r="H125" s="188"/>
      <c r="I125" s="187"/>
      <c r="J125" s="187"/>
      <c r="K125" s="187"/>
      <c r="L125" s="331"/>
      <c r="M125" s="273"/>
      <c r="N125" s="187"/>
      <c r="O125" s="187"/>
      <c r="P125" s="187"/>
      <c r="Q125" s="187"/>
      <c r="R125" s="187"/>
      <c r="S125" s="186"/>
      <c r="T125" s="183"/>
      <c r="U125" s="186"/>
      <c r="V125" s="183"/>
      <c r="W125" s="184"/>
      <c r="X125" s="184"/>
      <c r="Y125" s="183"/>
      <c r="Z125" s="184"/>
      <c r="AA125" s="184"/>
      <c r="AB125" s="183"/>
      <c r="AC125" s="231"/>
      <c r="AD125" s="231"/>
      <c r="AE125" s="185"/>
      <c r="AF125" s="184"/>
      <c r="AG125" s="184"/>
      <c r="AH125" s="185"/>
      <c r="AI125" s="232"/>
      <c r="AJ125" s="232"/>
      <c r="AK125" s="221">
        <f t="shared" si="32"/>
        <v>63.074999999999974</v>
      </c>
      <c r="AL125" s="330">
        <f xml:space="preserve"> 30*(B125/B$119)^2</f>
        <v>47.693761814744789</v>
      </c>
      <c r="AM125" s="214">
        <f t="shared" si="52"/>
        <v>47.693761814744789</v>
      </c>
      <c r="AN125" s="221">
        <f t="shared" si="55"/>
        <v>37.322485207100577</v>
      </c>
      <c r="AO125" s="315">
        <f t="shared" si="36"/>
        <v>37.322485207100577</v>
      </c>
      <c r="AP125" s="237">
        <v>30</v>
      </c>
      <c r="AQ125" s="221">
        <f t="shared" si="40"/>
        <v>23.168044077134983</v>
      </c>
      <c r="AR125" s="312">
        <f t="shared" si="41"/>
        <v>21.825259515570927</v>
      </c>
      <c r="AS125" s="214">
        <f t="shared" si="42"/>
        <v>20.595918367346936</v>
      </c>
      <c r="AT125" s="221">
        <f t="shared" si="44"/>
        <v>16.587771203155814</v>
      </c>
      <c r="AU125" s="214">
        <f t="shared" si="45"/>
        <v>13.645213628988643</v>
      </c>
      <c r="AV125" s="298">
        <f t="shared" si="46"/>
        <v>13.032024793388429</v>
      </c>
      <c r="AW125" s="221">
        <f t="shared" si="48"/>
        <v>10.950520833333332</v>
      </c>
      <c r="AX125" s="291">
        <f t="shared" si="49"/>
        <v>9.3306213017751443</v>
      </c>
      <c r="AY125" s="214">
        <f t="shared" si="50"/>
        <v>8.9818440726237085</v>
      </c>
      <c r="AZ125" s="221">
        <f t="shared" si="51"/>
        <v>7.7654662973222539</v>
      </c>
      <c r="BA125" s="214">
        <f t="shared" si="53"/>
        <v>7.0083333333333329</v>
      </c>
      <c r="BB125" s="221">
        <f t="shared" si="54"/>
        <v>5.6204054355090198</v>
      </c>
      <c r="BC125" s="181">
        <f t="shared" si="56"/>
        <v>5.2993068683049778</v>
      </c>
      <c r="BD125" s="181">
        <f t="shared" si="57"/>
        <v>5.0049593334655826</v>
      </c>
      <c r="BE125" s="261"/>
      <c r="BF125" s="184"/>
      <c r="BG125" s="184"/>
      <c r="BH125" s="183"/>
      <c r="BI125" s="184"/>
      <c r="BJ125" s="184"/>
      <c r="BK125" s="183"/>
      <c r="BL125" s="184"/>
      <c r="BM125" s="184"/>
      <c r="BN125" s="183"/>
      <c r="BO125" s="184"/>
      <c r="BP125" s="183"/>
      <c r="BQ125" s="184"/>
      <c r="BR125" s="184"/>
      <c r="BS125" s="183"/>
      <c r="BT125" s="184"/>
      <c r="BU125" s="183"/>
      <c r="BV125" s="184"/>
      <c r="BW125" s="183"/>
      <c r="BX125" s="184"/>
      <c r="BY125" s="183"/>
      <c r="BZ125" s="184"/>
      <c r="CA125" s="183"/>
      <c r="CB125" s="184"/>
      <c r="CC125" s="183"/>
      <c r="CD125" s="184"/>
      <c r="CE125" s="183"/>
      <c r="CF125" s="184"/>
      <c r="CG125" s="183"/>
      <c r="CH125" s="184"/>
      <c r="CI125" s="183"/>
      <c r="CJ125" s="184"/>
      <c r="CK125" s="183"/>
      <c r="CL125" s="184"/>
      <c r="CM125" s="256"/>
    </row>
    <row r="126" spans="1:91" ht="10.5" customHeight="1">
      <c r="A126" s="179" t="str">
        <f t="shared" si="24"/>
        <v/>
      </c>
      <c r="B126" s="329">
        <v>0.3</v>
      </c>
      <c r="C126" s="212"/>
      <c r="D126" s="212"/>
      <c r="E126" s="321"/>
      <c r="F126" s="328"/>
      <c r="G126" s="212"/>
      <c r="H126" s="211"/>
      <c r="I126" s="210"/>
      <c r="J126" s="210"/>
      <c r="K126" s="210"/>
      <c r="L126" s="210"/>
      <c r="M126" s="270"/>
      <c r="N126" s="210"/>
      <c r="O126" s="210"/>
      <c r="P126" s="210"/>
      <c r="Q126" s="210"/>
      <c r="R126" s="210"/>
      <c r="S126" s="209"/>
      <c r="T126" s="207"/>
      <c r="U126" s="209"/>
      <c r="V126" s="207"/>
      <c r="W126" s="206"/>
      <c r="X126" s="206"/>
      <c r="Y126" s="207"/>
      <c r="Z126" s="206"/>
      <c r="AA126" s="206"/>
      <c r="AB126" s="207"/>
      <c r="AC126" s="277"/>
      <c r="AD126" s="277"/>
      <c r="AE126" s="208"/>
      <c r="AF126" s="206"/>
      <c r="AG126" s="206"/>
      <c r="AH126" s="208"/>
      <c r="AI126" s="239"/>
      <c r="AJ126" s="239"/>
      <c r="AK126" s="225">
        <f t="shared" si="32"/>
        <v>67.499999999999972</v>
      </c>
      <c r="AL126" s="324">
        <f xml:space="preserve"> 30*(B126/B$118)^2</f>
        <v>55.785123966942145</v>
      </c>
      <c r="AM126" s="219">
        <f t="shared" si="52"/>
        <v>51.039697542533062</v>
      </c>
      <c r="AN126" s="225">
        <f t="shared" si="55"/>
        <v>39.940828402366854</v>
      </c>
      <c r="AO126" s="316">
        <f t="shared" si="36"/>
        <v>39.940828402366854</v>
      </c>
      <c r="AP126" s="219">
        <f t="shared" ref="AP126:AP141" si="58" xml:space="preserve"> 30*(B126/B$125)^2</f>
        <v>32.104637336504169</v>
      </c>
      <c r="AQ126" s="225">
        <f t="shared" si="40"/>
        <v>24.793388429752063</v>
      </c>
      <c r="AR126" s="310">
        <f t="shared" si="41"/>
        <v>23.356401384083036</v>
      </c>
      <c r="AS126" s="219">
        <f t="shared" si="42"/>
        <v>22.040816326530617</v>
      </c>
      <c r="AT126" s="225">
        <f t="shared" si="44"/>
        <v>17.751479289940825</v>
      </c>
      <c r="AU126" s="219">
        <f t="shared" si="45"/>
        <v>14.602487831260142</v>
      </c>
      <c r="AV126" s="301">
        <f t="shared" si="46"/>
        <v>13.946280991735536</v>
      </c>
      <c r="AW126" s="225">
        <f t="shared" si="48"/>
        <v>11.71875</v>
      </c>
      <c r="AX126" s="290">
        <f t="shared" si="49"/>
        <v>9.9852071005917136</v>
      </c>
      <c r="AY126" s="219">
        <f t="shared" si="50"/>
        <v>9.6119615521537902</v>
      </c>
      <c r="AZ126" s="225">
        <f t="shared" si="51"/>
        <v>8.3102493074792232</v>
      </c>
      <c r="BA126" s="219">
        <f t="shared" si="53"/>
        <v>7.5</v>
      </c>
      <c r="BB126" s="225">
        <f t="shared" si="54"/>
        <v>6.0147026063711282</v>
      </c>
      <c r="BC126" s="271">
        <f t="shared" si="56"/>
        <v>5.6710775047258988</v>
      </c>
      <c r="BD126" s="203">
        <f t="shared" si="57"/>
        <v>5.3560801428288034</v>
      </c>
      <c r="BE126" s="268"/>
      <c r="BF126" s="206"/>
      <c r="BG126" s="206"/>
      <c r="BH126" s="207"/>
      <c r="BI126" s="206"/>
      <c r="BJ126" s="206"/>
      <c r="BK126" s="207"/>
      <c r="BL126" s="206"/>
      <c r="BM126" s="206"/>
      <c r="BN126" s="207"/>
      <c r="BO126" s="206"/>
      <c r="BP126" s="207"/>
      <c r="BQ126" s="206"/>
      <c r="BR126" s="206"/>
      <c r="BS126" s="207"/>
      <c r="BT126" s="206"/>
      <c r="BU126" s="207"/>
      <c r="BV126" s="206"/>
      <c r="BW126" s="207"/>
      <c r="BX126" s="206"/>
      <c r="BY126" s="207"/>
      <c r="BZ126" s="206"/>
      <c r="CA126" s="207"/>
      <c r="CB126" s="206"/>
      <c r="CC126" s="207"/>
      <c r="CD126" s="206"/>
      <c r="CE126" s="207"/>
      <c r="CF126" s="206"/>
      <c r="CG126" s="207"/>
      <c r="CH126" s="206"/>
      <c r="CI126" s="207"/>
      <c r="CJ126" s="206"/>
      <c r="CK126" s="207"/>
      <c r="CL126" s="206"/>
      <c r="CM126" s="254"/>
    </row>
    <row r="127" spans="1:91" ht="10.5" customHeight="1" thickBot="1">
      <c r="A127" s="327" t="str">
        <f t="shared" si="24"/>
        <v/>
      </c>
      <c r="B127" s="326">
        <v>0.31</v>
      </c>
      <c r="C127" s="200"/>
      <c r="D127" s="200"/>
      <c r="E127" s="319"/>
      <c r="F127" s="325"/>
      <c r="G127" s="200"/>
      <c r="H127" s="199"/>
      <c r="I127" s="198"/>
      <c r="J127" s="198"/>
      <c r="K127" s="198"/>
      <c r="L127" s="198"/>
      <c r="M127" s="267"/>
      <c r="N127" s="198"/>
      <c r="O127" s="198"/>
      <c r="P127" s="198"/>
      <c r="Q127" s="198"/>
      <c r="R127" s="198"/>
      <c r="S127" s="197"/>
      <c r="T127" s="194"/>
      <c r="U127" s="197"/>
      <c r="V127" s="194"/>
      <c r="W127" s="195"/>
      <c r="X127" s="195"/>
      <c r="Y127" s="194"/>
      <c r="Z127" s="195"/>
      <c r="AA127" s="195"/>
      <c r="AB127" s="194"/>
      <c r="AC127" s="318"/>
      <c r="AD127" s="318"/>
      <c r="AE127" s="196"/>
      <c r="AF127" s="195"/>
      <c r="AG127" s="195"/>
      <c r="AH127" s="196"/>
      <c r="AI127" s="224"/>
      <c r="AJ127" s="224"/>
      <c r="AK127" s="223">
        <f t="shared" si="32"/>
        <v>72.074999999999989</v>
      </c>
      <c r="AL127" s="322">
        <f xml:space="preserve"> 30*(B127/B$118)^2</f>
        <v>59.566115702479344</v>
      </c>
      <c r="AM127" s="217">
        <f t="shared" si="52"/>
        <v>54.499054820415878</v>
      </c>
      <c r="AN127" s="223">
        <f t="shared" si="55"/>
        <v>42.647928994082839</v>
      </c>
      <c r="AO127" s="315">
        <f t="shared" si="36"/>
        <v>42.647928994082839</v>
      </c>
      <c r="AP127" s="217">
        <f t="shared" si="58"/>
        <v>34.280618311533892</v>
      </c>
      <c r="AQ127" s="223">
        <f t="shared" si="40"/>
        <v>26.473829201101925</v>
      </c>
      <c r="AR127" s="312">
        <f t="shared" si="41"/>
        <v>24.939446366782004</v>
      </c>
      <c r="AS127" s="217">
        <f t="shared" si="42"/>
        <v>23.534693877551021</v>
      </c>
      <c r="AT127" s="223">
        <f t="shared" si="44"/>
        <v>18.954635108481259</v>
      </c>
      <c r="AU127" s="217">
        <f t="shared" si="45"/>
        <v>15.592212006489998</v>
      </c>
      <c r="AV127" s="298">
        <f t="shared" si="46"/>
        <v>14.891528925619836</v>
      </c>
      <c r="AW127" s="223">
        <f t="shared" si="48"/>
        <v>12.513020833333334</v>
      </c>
      <c r="AX127" s="291">
        <f t="shared" si="49"/>
        <v>10.66198224852071</v>
      </c>
      <c r="AY127" s="217">
        <f t="shared" si="50"/>
        <v>10.263438946244214</v>
      </c>
      <c r="AZ127" s="223">
        <f t="shared" si="51"/>
        <v>8.8734995383194839</v>
      </c>
      <c r="BA127" s="217">
        <f t="shared" si="53"/>
        <v>8.0083333333333346</v>
      </c>
      <c r="BB127" s="223">
        <f t="shared" si="54"/>
        <v>6.422365783025171</v>
      </c>
      <c r="BC127" s="181">
        <f t="shared" si="56"/>
        <v>6.055450535601766</v>
      </c>
      <c r="BD127" s="192">
        <f t="shared" si="57"/>
        <v>5.7191033525094239</v>
      </c>
      <c r="BE127" s="263"/>
      <c r="BF127" s="318"/>
      <c r="BG127" s="318"/>
      <c r="BH127" s="194"/>
      <c r="BI127" s="195"/>
      <c r="BJ127" s="195"/>
      <c r="BK127" s="194"/>
      <c r="BL127" s="195"/>
      <c r="BM127" s="195"/>
      <c r="BN127" s="194"/>
      <c r="BO127" s="195"/>
      <c r="BP127" s="194"/>
      <c r="BQ127" s="195"/>
      <c r="BR127" s="195"/>
      <c r="BS127" s="194"/>
      <c r="BT127" s="195"/>
      <c r="BU127" s="194"/>
      <c r="BV127" s="195"/>
      <c r="BW127" s="194"/>
      <c r="BX127" s="195"/>
      <c r="BY127" s="194"/>
      <c r="BZ127" s="195"/>
      <c r="CA127" s="194"/>
      <c r="CB127" s="195"/>
      <c r="CC127" s="194"/>
      <c r="CD127" s="195"/>
      <c r="CE127" s="194"/>
      <c r="CF127" s="195"/>
      <c r="CG127" s="194"/>
      <c r="CH127" s="195"/>
      <c r="CI127" s="194"/>
      <c r="CJ127" s="195"/>
      <c r="CK127" s="194"/>
      <c r="CL127" s="195"/>
      <c r="CM127" s="258"/>
    </row>
    <row r="128" spans="1:91" ht="10.5" customHeight="1" thickBot="1">
      <c r="A128" s="179" t="str">
        <f t="shared" si="24"/>
        <v/>
      </c>
      <c r="B128" s="190">
        <v>0.32</v>
      </c>
      <c r="C128" s="189"/>
      <c r="D128" s="189"/>
      <c r="E128" s="323"/>
      <c r="F128" s="292"/>
      <c r="G128" s="189"/>
      <c r="H128" s="188"/>
      <c r="I128" s="187"/>
      <c r="J128" s="187"/>
      <c r="K128" s="187"/>
      <c r="L128" s="187"/>
      <c r="M128" s="273"/>
      <c r="N128" s="187"/>
      <c r="O128" s="187"/>
      <c r="P128" s="187"/>
      <c r="Q128" s="187"/>
      <c r="R128" s="187"/>
      <c r="S128" s="186"/>
      <c r="T128" s="183"/>
      <c r="U128" s="186"/>
      <c r="V128" s="183"/>
      <c r="W128" s="184"/>
      <c r="X128" s="184"/>
      <c r="Y128" s="183"/>
      <c r="Z128" s="184"/>
      <c r="AA128" s="184"/>
      <c r="AB128" s="183"/>
      <c r="AC128" s="231"/>
      <c r="AD128" s="231"/>
      <c r="AE128" s="185"/>
      <c r="AF128" s="184"/>
      <c r="AG128" s="184"/>
      <c r="AH128" s="185"/>
      <c r="AI128" s="184"/>
      <c r="AJ128" s="184"/>
      <c r="AK128" s="215"/>
      <c r="AL128" s="324">
        <f xml:space="preserve"> 30*(B128/B$119)^2</f>
        <v>58.071833648393188</v>
      </c>
      <c r="AM128" s="214">
        <f t="shared" si="52"/>
        <v>58.071833648393188</v>
      </c>
      <c r="AN128" s="221">
        <f t="shared" si="55"/>
        <v>45.443786982248525</v>
      </c>
      <c r="AO128" s="316">
        <f t="shared" si="36"/>
        <v>45.443786982248525</v>
      </c>
      <c r="AP128" s="214">
        <f t="shared" si="58"/>
        <v>36.527942925089199</v>
      </c>
      <c r="AQ128" s="221">
        <f t="shared" si="40"/>
        <v>28.209366391184577</v>
      </c>
      <c r="AR128" s="310">
        <f t="shared" si="41"/>
        <v>26.574394463667822</v>
      </c>
      <c r="AS128" s="214">
        <f t="shared" si="42"/>
        <v>25.077551020408169</v>
      </c>
      <c r="AT128" s="221">
        <f t="shared" si="44"/>
        <v>20.197238658777117</v>
      </c>
      <c r="AU128" s="214">
        <f t="shared" si="45"/>
        <v>16.614386154678201</v>
      </c>
      <c r="AV128" s="301">
        <f t="shared" si="46"/>
        <v>15.867768595041323</v>
      </c>
      <c r="AW128" s="221">
        <f t="shared" si="48"/>
        <v>13.333333333333336</v>
      </c>
      <c r="AX128" s="290">
        <f t="shared" si="49"/>
        <v>11.360946745562131</v>
      </c>
      <c r="AY128" s="214">
        <f t="shared" si="50"/>
        <v>10.936276254894979</v>
      </c>
      <c r="AZ128" s="221">
        <f t="shared" si="51"/>
        <v>9.4552169898430307</v>
      </c>
      <c r="BA128" s="214">
        <f t="shared" si="53"/>
        <v>8.5333333333333332</v>
      </c>
      <c r="BB128" s="221">
        <f t="shared" si="54"/>
        <v>6.843394965471151</v>
      </c>
      <c r="BC128" s="271">
        <f t="shared" si="56"/>
        <v>6.4524259609325787</v>
      </c>
      <c r="BD128" s="214">
        <f t="shared" si="57"/>
        <v>6.0940289625074389</v>
      </c>
      <c r="BE128" s="180">
        <f t="shared" ref="BE128:BE159" si="59" xml:space="preserve"> 30*(B128/B$177)^2</f>
        <v>4.6822130772748052</v>
      </c>
      <c r="BF128" s="257"/>
      <c r="BG128" s="257"/>
      <c r="BH128" s="185"/>
      <c r="BI128" s="184"/>
      <c r="BJ128" s="184"/>
      <c r="BK128" s="183"/>
      <c r="BL128" s="184"/>
      <c r="BM128" s="184"/>
      <c r="BN128" s="183"/>
      <c r="BO128" s="184"/>
      <c r="BP128" s="183"/>
      <c r="BQ128" s="184"/>
      <c r="BR128" s="184"/>
      <c r="BS128" s="183"/>
      <c r="BT128" s="184"/>
      <c r="BU128" s="183"/>
      <c r="BV128" s="184"/>
      <c r="BW128" s="183"/>
      <c r="BX128" s="184"/>
      <c r="BY128" s="183"/>
      <c r="BZ128" s="184"/>
      <c r="CA128" s="183"/>
      <c r="CB128" s="184"/>
      <c r="CC128" s="183"/>
      <c r="CD128" s="184"/>
      <c r="CE128" s="183"/>
      <c r="CF128" s="184"/>
      <c r="CG128" s="183"/>
      <c r="CH128" s="184"/>
      <c r="CI128" s="183"/>
      <c r="CJ128" s="184"/>
      <c r="CK128" s="183"/>
      <c r="CL128" s="184"/>
      <c r="CM128" s="256"/>
    </row>
    <row r="129" spans="1:91" ht="10.5" customHeight="1" thickBot="1">
      <c r="A129" s="179" t="str">
        <f t="shared" si="24"/>
        <v/>
      </c>
      <c r="B129" s="190">
        <v>0.33</v>
      </c>
      <c r="C129" s="189"/>
      <c r="D129" s="189"/>
      <c r="E129" s="323"/>
      <c r="F129" s="292"/>
      <c r="G129" s="189"/>
      <c r="H129" s="188"/>
      <c r="I129" s="187"/>
      <c r="J129" s="187"/>
      <c r="K129" s="187"/>
      <c r="L129" s="187"/>
      <c r="M129" s="273"/>
      <c r="N129" s="187"/>
      <c r="O129" s="187"/>
      <c r="P129" s="187"/>
      <c r="Q129" s="187"/>
      <c r="R129" s="187"/>
      <c r="S129" s="186"/>
      <c r="T129" s="183"/>
      <c r="U129" s="186"/>
      <c r="V129" s="183"/>
      <c r="W129" s="184"/>
      <c r="X129" s="184"/>
      <c r="Y129" s="183"/>
      <c r="Z129" s="184"/>
      <c r="AA129" s="184"/>
      <c r="AB129" s="183"/>
      <c r="AC129" s="184"/>
      <c r="AD129" s="184"/>
      <c r="AE129" s="185"/>
      <c r="AF129" s="184"/>
      <c r="AG129" s="184"/>
      <c r="AH129" s="185"/>
      <c r="AI129" s="184"/>
      <c r="AJ129" s="184"/>
      <c r="AK129" s="215"/>
      <c r="AL129" s="322">
        <f xml:space="preserve"> 30*(B129/B$118)^2</f>
        <v>67.5</v>
      </c>
      <c r="AM129" s="214">
        <f t="shared" si="52"/>
        <v>61.758034026465026</v>
      </c>
      <c r="AN129" s="221">
        <f t="shared" si="55"/>
        <v>48.328402366863898</v>
      </c>
      <c r="AO129" s="315">
        <f t="shared" si="36"/>
        <v>48.328402366863898</v>
      </c>
      <c r="AP129" s="214">
        <f t="shared" si="58"/>
        <v>38.84661117717004</v>
      </c>
      <c r="AQ129" s="235">
        <v>30</v>
      </c>
      <c r="AR129" s="312">
        <f t="shared" si="41"/>
        <v>28.261245674740483</v>
      </c>
      <c r="AS129" s="214">
        <f t="shared" si="42"/>
        <v>26.669387755102047</v>
      </c>
      <c r="AT129" s="221">
        <f t="shared" si="44"/>
        <v>21.479289940828401</v>
      </c>
      <c r="AU129" s="214">
        <f t="shared" si="45"/>
        <v>17.669010275824771</v>
      </c>
      <c r="AV129" s="298">
        <f t="shared" si="46"/>
        <v>16.875</v>
      </c>
      <c r="AW129" s="221">
        <f t="shared" si="48"/>
        <v>14.179687500000005</v>
      </c>
      <c r="AX129" s="291">
        <f t="shared" si="49"/>
        <v>12.082100591715975</v>
      </c>
      <c r="AY129" s="214">
        <f t="shared" si="50"/>
        <v>11.630473478106087</v>
      </c>
      <c r="AZ129" s="221">
        <f t="shared" si="51"/>
        <v>10.055401662049862</v>
      </c>
      <c r="BA129" s="214">
        <f t="shared" si="53"/>
        <v>9.0750000000000011</v>
      </c>
      <c r="BB129" s="221">
        <f t="shared" si="54"/>
        <v>7.2777901537090655</v>
      </c>
      <c r="BC129" s="181">
        <f t="shared" si="56"/>
        <v>6.8620037807183385</v>
      </c>
      <c r="BD129" s="214">
        <f t="shared" si="57"/>
        <v>6.4808569728228536</v>
      </c>
      <c r="BE129" s="221">
        <f t="shared" si="59"/>
        <v>4.9794238683127565</v>
      </c>
      <c r="BF129" s="271">
        <f t="shared" ref="BF129:BF160" si="60" xml:space="preserve"> 30*(B129/B$181)^2</f>
        <v>4.521799307958478</v>
      </c>
      <c r="BG129" s="318"/>
      <c r="BH129" s="261"/>
      <c r="BI129" s="231"/>
      <c r="BJ129" s="231"/>
      <c r="BK129" s="183"/>
      <c r="BL129" s="184"/>
      <c r="BM129" s="184"/>
      <c r="BN129" s="183"/>
      <c r="BO129" s="184"/>
      <c r="BP129" s="183"/>
      <c r="BQ129" s="184"/>
      <c r="BR129" s="184"/>
      <c r="BS129" s="183"/>
      <c r="BT129" s="184"/>
      <c r="BU129" s="183"/>
      <c r="BV129" s="184"/>
      <c r="BW129" s="183"/>
      <c r="BX129" s="184"/>
      <c r="BY129" s="183"/>
      <c r="BZ129" s="184"/>
      <c r="CA129" s="183"/>
      <c r="CB129" s="184"/>
      <c r="CC129" s="183"/>
      <c r="CD129" s="184"/>
      <c r="CE129" s="183"/>
      <c r="CF129" s="184"/>
      <c r="CG129" s="183"/>
      <c r="CH129" s="184"/>
      <c r="CI129" s="183"/>
      <c r="CJ129" s="184"/>
      <c r="CK129" s="183"/>
      <c r="CL129" s="184"/>
      <c r="CM129" s="256"/>
    </row>
    <row r="130" spans="1:91" ht="10.5" customHeight="1" thickBot="1">
      <c r="A130" s="179" t="str">
        <f t="shared" si="24"/>
        <v/>
      </c>
      <c r="B130" s="213">
        <v>0.34</v>
      </c>
      <c r="C130" s="212"/>
      <c r="D130" s="212"/>
      <c r="E130" s="321"/>
      <c r="F130" s="294"/>
      <c r="G130" s="212"/>
      <c r="H130" s="211"/>
      <c r="I130" s="210"/>
      <c r="J130" s="210"/>
      <c r="K130" s="210"/>
      <c r="L130" s="210"/>
      <c r="M130" s="270"/>
      <c r="N130" s="210"/>
      <c r="O130" s="210"/>
      <c r="P130" s="210"/>
      <c r="Q130" s="210"/>
      <c r="R130" s="210"/>
      <c r="S130" s="209"/>
      <c r="T130" s="207"/>
      <c r="U130" s="209"/>
      <c r="V130" s="207"/>
      <c r="W130" s="206"/>
      <c r="X130" s="206"/>
      <c r="Y130" s="207"/>
      <c r="Z130" s="206"/>
      <c r="AA130" s="206"/>
      <c r="AB130" s="207"/>
      <c r="AC130" s="206"/>
      <c r="AD130" s="206"/>
      <c r="AE130" s="208"/>
      <c r="AF130" s="206"/>
      <c r="AG130" s="206"/>
      <c r="AH130" s="208"/>
      <c r="AI130" s="206"/>
      <c r="AJ130" s="206"/>
      <c r="AK130" s="205"/>
      <c r="AL130" s="320">
        <f xml:space="preserve"> 30*(B130/B$118)^2</f>
        <v>71.652892561983492</v>
      </c>
      <c r="AM130" s="219">
        <f t="shared" si="52"/>
        <v>65.5576559546314</v>
      </c>
      <c r="AN130" s="225">
        <f t="shared" si="55"/>
        <v>51.301775147928993</v>
      </c>
      <c r="AO130" s="316">
        <f t="shared" si="36"/>
        <v>51.301775147928993</v>
      </c>
      <c r="AP130" s="219">
        <f t="shared" si="58"/>
        <v>41.23662306777647</v>
      </c>
      <c r="AQ130" s="225">
        <f t="shared" ref="AQ130:AQ147" si="61" xml:space="preserve"> 30*(B130/B$129)^2</f>
        <v>31.84573002754821</v>
      </c>
      <c r="AR130" s="310">
        <f t="shared" si="41"/>
        <v>30</v>
      </c>
      <c r="AS130" s="219">
        <f t="shared" si="42"/>
        <v>28.310204081632659</v>
      </c>
      <c r="AT130" s="225">
        <f t="shared" si="44"/>
        <v>22.800788954635109</v>
      </c>
      <c r="AU130" s="219">
        <f t="shared" si="45"/>
        <v>18.756084369929695</v>
      </c>
      <c r="AV130" s="301">
        <f t="shared" si="46"/>
        <v>17.913223140495873</v>
      </c>
      <c r="AW130" s="225">
        <f t="shared" si="48"/>
        <v>15.052083333333336</v>
      </c>
      <c r="AX130" s="290">
        <f t="shared" si="49"/>
        <v>12.825443786982248</v>
      </c>
      <c r="AY130" s="219">
        <f t="shared" si="50"/>
        <v>12.346030615877536</v>
      </c>
      <c r="AZ130" s="225">
        <f t="shared" si="51"/>
        <v>10.674053554939984</v>
      </c>
      <c r="BA130" s="219">
        <f t="shared" si="53"/>
        <v>9.6333333333333364</v>
      </c>
      <c r="BB130" s="225">
        <f t="shared" si="54"/>
        <v>7.7255513477389179</v>
      </c>
      <c r="BC130" s="271">
        <f t="shared" si="56"/>
        <v>7.2841839949590446</v>
      </c>
      <c r="BD130" s="219">
        <f t="shared" si="57"/>
        <v>6.8795873834556653</v>
      </c>
      <c r="BE130" s="225">
        <f t="shared" si="59"/>
        <v>5.2857796067672602</v>
      </c>
      <c r="BF130" s="203">
        <f t="shared" si="60"/>
        <v>4.8000000000000007</v>
      </c>
      <c r="BG130" s="276">
        <f t="shared" ref="BG130:BG161" si="62" xml:space="preserve"> 30*(B130/B$183)^2</f>
        <v>4.5818470075307181</v>
      </c>
      <c r="BH130" s="268"/>
      <c r="BI130" s="277"/>
      <c r="BJ130" s="277"/>
      <c r="BK130" s="207"/>
      <c r="BL130" s="206"/>
      <c r="BM130" s="206"/>
      <c r="BN130" s="207"/>
      <c r="BO130" s="206"/>
      <c r="BP130" s="207"/>
      <c r="BQ130" s="206"/>
      <c r="BR130" s="206"/>
      <c r="BS130" s="207"/>
      <c r="BT130" s="206"/>
      <c r="BU130" s="207"/>
      <c r="BV130" s="206"/>
      <c r="BW130" s="207"/>
      <c r="BX130" s="206"/>
      <c r="BY130" s="207"/>
      <c r="BZ130" s="206"/>
      <c r="CA130" s="207"/>
      <c r="CB130" s="206"/>
      <c r="CC130" s="207"/>
      <c r="CD130" s="206"/>
      <c r="CE130" s="207"/>
      <c r="CF130" s="206"/>
      <c r="CG130" s="207"/>
      <c r="CH130" s="206"/>
      <c r="CI130" s="207"/>
      <c r="CJ130" s="206"/>
      <c r="CK130" s="207"/>
      <c r="CL130" s="206"/>
      <c r="CM130" s="254"/>
    </row>
    <row r="131" spans="1:91" ht="10.5" customHeight="1" thickBot="1">
      <c r="A131" s="179" t="str">
        <f t="shared" si="24"/>
        <v/>
      </c>
      <c r="B131" s="201">
        <v>0.35</v>
      </c>
      <c r="C131" s="200"/>
      <c r="D131" s="200"/>
      <c r="E131" s="319"/>
      <c r="F131" s="293"/>
      <c r="G131" s="200"/>
      <c r="H131" s="199"/>
      <c r="I131" s="198"/>
      <c r="J131" s="198"/>
      <c r="K131" s="198"/>
      <c r="L131" s="198"/>
      <c r="M131" s="267"/>
      <c r="N131" s="198"/>
      <c r="O131" s="198"/>
      <c r="P131" s="198"/>
      <c r="Q131" s="198"/>
      <c r="R131" s="198"/>
      <c r="S131" s="197"/>
      <c r="T131" s="194"/>
      <c r="U131" s="197"/>
      <c r="V131" s="194"/>
      <c r="W131" s="195"/>
      <c r="X131" s="195"/>
      <c r="Y131" s="194"/>
      <c r="Z131" s="195"/>
      <c r="AA131" s="195"/>
      <c r="AB131" s="194"/>
      <c r="AC131" s="195"/>
      <c r="AD131" s="195"/>
      <c r="AE131" s="196"/>
      <c r="AF131" s="195"/>
      <c r="AG131" s="195"/>
      <c r="AH131" s="196"/>
      <c r="AI131" s="195"/>
      <c r="AJ131" s="195"/>
      <c r="AK131" s="228"/>
      <c r="AL131" s="308"/>
      <c r="AM131" s="217">
        <f t="shared" si="52"/>
        <v>69.470699432892246</v>
      </c>
      <c r="AN131" s="223">
        <f t="shared" si="55"/>
        <v>54.363905325443781</v>
      </c>
      <c r="AO131" s="315">
        <f t="shared" si="36"/>
        <v>54.363905325443781</v>
      </c>
      <c r="AP131" s="217">
        <f t="shared" si="58"/>
        <v>43.697978596908435</v>
      </c>
      <c r="AQ131" s="223">
        <f t="shared" si="61"/>
        <v>33.746556473829195</v>
      </c>
      <c r="AR131" s="312">
        <f t="shared" si="41"/>
        <v>31.79065743944636</v>
      </c>
      <c r="AS131" s="234">
        <v>30</v>
      </c>
      <c r="AT131" s="223">
        <f t="shared" si="44"/>
        <v>24.161735700197234</v>
      </c>
      <c r="AU131" s="217">
        <f t="shared" si="45"/>
        <v>19.87560843699297</v>
      </c>
      <c r="AV131" s="298">
        <f t="shared" si="46"/>
        <v>18.982438016528924</v>
      </c>
      <c r="AW131" s="223">
        <f t="shared" si="48"/>
        <v>15.95052083333333</v>
      </c>
      <c r="AX131" s="291">
        <f t="shared" si="49"/>
        <v>13.590976331360945</v>
      </c>
      <c r="AY131" s="217">
        <f t="shared" si="50"/>
        <v>13.082947668209325</v>
      </c>
      <c r="AZ131" s="223">
        <f t="shared" si="51"/>
        <v>11.31117266851339</v>
      </c>
      <c r="BA131" s="217">
        <f t="shared" si="53"/>
        <v>10.208333333333336</v>
      </c>
      <c r="BB131" s="223">
        <f t="shared" si="54"/>
        <v>8.1866785475607031</v>
      </c>
      <c r="BC131" s="181">
        <f t="shared" si="56"/>
        <v>7.7189666036546951</v>
      </c>
      <c r="BD131" s="217">
        <f t="shared" si="57"/>
        <v>7.2902201944058724</v>
      </c>
      <c r="BE131" s="223">
        <f t="shared" si="59"/>
        <v>5.6012802926383154</v>
      </c>
      <c r="BF131" s="192">
        <f t="shared" si="60"/>
        <v>5.086505190311418</v>
      </c>
      <c r="BG131" s="279">
        <f t="shared" si="62"/>
        <v>4.8553309552120476</v>
      </c>
      <c r="BH131" s="261"/>
      <c r="BI131" s="318"/>
      <c r="BJ131" s="318"/>
      <c r="BK131" s="194"/>
      <c r="BL131" s="195"/>
      <c r="BM131" s="195"/>
      <c r="BN131" s="194"/>
      <c r="BO131" s="195"/>
      <c r="BP131" s="194"/>
      <c r="BQ131" s="195"/>
      <c r="BR131" s="195"/>
      <c r="BS131" s="194"/>
      <c r="BT131" s="195"/>
      <c r="BU131" s="194"/>
      <c r="BV131" s="195"/>
      <c r="BW131" s="194"/>
      <c r="BX131" s="195"/>
      <c r="BY131" s="194"/>
      <c r="BZ131" s="195"/>
      <c r="CA131" s="194"/>
      <c r="CB131" s="195"/>
      <c r="CC131" s="194"/>
      <c r="CD131" s="195"/>
      <c r="CE131" s="194"/>
      <c r="CF131" s="195"/>
      <c r="CG131" s="194"/>
      <c r="CH131" s="195"/>
      <c r="CI131" s="194"/>
      <c r="CJ131" s="195"/>
      <c r="CK131" s="194"/>
      <c r="CL131" s="195"/>
      <c r="CM131" s="258"/>
    </row>
    <row r="132" spans="1:91" ht="10.5" customHeight="1" thickBot="1">
      <c r="A132" s="179" t="str">
        <f t="shared" si="24"/>
        <v/>
      </c>
      <c r="B132" s="190">
        <v>0.36</v>
      </c>
      <c r="C132" s="189"/>
      <c r="D132" s="189"/>
      <c r="E132" s="189"/>
      <c r="F132" s="292"/>
      <c r="G132" s="189"/>
      <c r="H132" s="188"/>
      <c r="I132" s="187"/>
      <c r="J132" s="187"/>
      <c r="K132" s="187"/>
      <c r="L132" s="187"/>
      <c r="M132" s="273"/>
      <c r="N132" s="187"/>
      <c r="O132" s="187"/>
      <c r="P132" s="187"/>
      <c r="Q132" s="187"/>
      <c r="R132" s="187"/>
      <c r="S132" s="186"/>
      <c r="T132" s="183"/>
      <c r="U132" s="186"/>
      <c r="V132" s="183"/>
      <c r="W132" s="184"/>
      <c r="X132" s="184"/>
      <c r="Y132" s="183"/>
      <c r="Z132" s="184"/>
      <c r="AA132" s="184"/>
      <c r="AB132" s="183"/>
      <c r="AC132" s="184"/>
      <c r="AD132" s="184"/>
      <c r="AE132" s="185"/>
      <c r="AF132" s="184"/>
      <c r="AG132" s="184"/>
      <c r="AH132" s="185"/>
      <c r="AI132" s="184"/>
      <c r="AJ132" s="184"/>
      <c r="AK132" s="215"/>
      <c r="AL132" s="184"/>
      <c r="AM132" s="227">
        <f t="shared" si="52"/>
        <v>73.497164461247621</v>
      </c>
      <c r="AN132" s="221">
        <f t="shared" si="55"/>
        <v>57.514792899408278</v>
      </c>
      <c r="AO132" s="316">
        <f t="shared" si="36"/>
        <v>57.514792899408278</v>
      </c>
      <c r="AP132" s="214">
        <f t="shared" si="58"/>
        <v>46.230677764565996</v>
      </c>
      <c r="AQ132" s="221">
        <f t="shared" si="61"/>
        <v>35.70247933884297</v>
      </c>
      <c r="AR132" s="310">
        <f t="shared" si="41"/>
        <v>33.633217993079576</v>
      </c>
      <c r="AS132" s="214">
        <f t="shared" ref="AS132:AS150" si="63" xml:space="preserve"> 30*(B132/B$131)^2</f>
        <v>31.738775510204089</v>
      </c>
      <c r="AT132" s="221">
        <f t="shared" si="44"/>
        <v>25.562130177514788</v>
      </c>
      <c r="AU132" s="214">
        <f t="shared" si="45"/>
        <v>21.027582477014601</v>
      </c>
      <c r="AV132" s="301">
        <f t="shared" si="46"/>
        <v>20.082644628099171</v>
      </c>
      <c r="AW132" s="221">
        <f t="shared" si="48"/>
        <v>16.875</v>
      </c>
      <c r="AX132" s="290">
        <f t="shared" si="49"/>
        <v>14.378698224852069</v>
      </c>
      <c r="AY132" s="214">
        <f t="shared" si="50"/>
        <v>13.841224635101458</v>
      </c>
      <c r="AZ132" s="221">
        <f t="shared" si="51"/>
        <v>11.966759002770086</v>
      </c>
      <c r="BA132" s="214">
        <f t="shared" si="53"/>
        <v>10.799999999999999</v>
      </c>
      <c r="BB132" s="221">
        <f t="shared" si="54"/>
        <v>8.6611717531744272</v>
      </c>
      <c r="BC132" s="271">
        <f t="shared" si="56"/>
        <v>8.1663516068052928</v>
      </c>
      <c r="BD132" s="214">
        <f t="shared" si="57"/>
        <v>7.7127554056734766</v>
      </c>
      <c r="BE132" s="221">
        <f t="shared" si="59"/>
        <v>5.9259259259259256</v>
      </c>
      <c r="BF132" s="214">
        <f t="shared" si="60"/>
        <v>5.3813148788927334</v>
      </c>
      <c r="BG132" s="276">
        <f t="shared" si="62"/>
        <v>5.1367419738406657</v>
      </c>
      <c r="BH132" s="240">
        <f t="shared" ref="BH132:BH163" si="64" xml:space="preserve"> 30*(B132/B$187)^2</f>
        <v>4.6950851346455744</v>
      </c>
      <c r="BI132" s="257"/>
      <c r="BJ132" s="257"/>
      <c r="BK132" s="183"/>
      <c r="BL132" s="184"/>
      <c r="BM132" s="184"/>
      <c r="BN132" s="183"/>
      <c r="BO132" s="184"/>
      <c r="BP132" s="183"/>
      <c r="BQ132" s="184"/>
      <c r="BR132" s="184"/>
      <c r="BS132" s="183"/>
      <c r="BT132" s="184"/>
      <c r="BU132" s="183"/>
      <c r="BV132" s="184"/>
      <c r="BW132" s="183"/>
      <c r="BX132" s="184"/>
      <c r="BY132" s="183"/>
      <c r="BZ132" s="184"/>
      <c r="CA132" s="183"/>
      <c r="CB132" s="184"/>
      <c r="CC132" s="183"/>
      <c r="CD132" s="184"/>
      <c r="CE132" s="183"/>
      <c r="CF132" s="184"/>
      <c r="CG132" s="183"/>
      <c r="CH132" s="184"/>
      <c r="CI132" s="183"/>
      <c r="CJ132" s="184"/>
      <c r="CK132" s="183"/>
      <c r="CL132" s="184"/>
      <c r="CM132" s="256"/>
    </row>
    <row r="133" spans="1:91" ht="10.5" customHeight="1" thickBot="1">
      <c r="A133" s="179" t="str">
        <f t="shared" si="24"/>
        <v/>
      </c>
      <c r="B133" s="190">
        <v>0.37</v>
      </c>
      <c r="C133" s="189"/>
      <c r="D133" s="189"/>
      <c r="E133" s="189"/>
      <c r="F133" s="292"/>
      <c r="G133" s="189"/>
      <c r="H133" s="188"/>
      <c r="I133" s="187"/>
      <c r="J133" s="187"/>
      <c r="K133" s="187"/>
      <c r="L133" s="187"/>
      <c r="M133" s="273"/>
      <c r="N133" s="187"/>
      <c r="O133" s="187"/>
      <c r="P133" s="187"/>
      <c r="Q133" s="187"/>
      <c r="R133" s="187"/>
      <c r="S133" s="186"/>
      <c r="T133" s="183"/>
      <c r="U133" s="186"/>
      <c r="V133" s="183"/>
      <c r="W133" s="184"/>
      <c r="X133" s="184"/>
      <c r="Y133" s="183"/>
      <c r="Z133" s="184"/>
      <c r="AA133" s="184"/>
      <c r="AB133" s="183"/>
      <c r="AC133" s="184"/>
      <c r="AD133" s="184"/>
      <c r="AE133" s="185"/>
      <c r="AF133" s="184"/>
      <c r="AG133" s="184"/>
      <c r="AH133" s="185"/>
      <c r="AI133" s="184"/>
      <c r="AJ133" s="184"/>
      <c r="AK133" s="183"/>
      <c r="AL133" s="184"/>
      <c r="AM133" s="182"/>
      <c r="AN133" s="221">
        <f t="shared" si="55"/>
        <v>60.754437869822468</v>
      </c>
      <c r="AO133" s="315">
        <f t="shared" si="36"/>
        <v>60.754437869822468</v>
      </c>
      <c r="AP133" s="214">
        <f t="shared" si="58"/>
        <v>48.83472057074912</v>
      </c>
      <c r="AQ133" s="221">
        <f t="shared" si="61"/>
        <v>37.713498622589526</v>
      </c>
      <c r="AR133" s="312">
        <f t="shared" si="41"/>
        <v>35.527681660899653</v>
      </c>
      <c r="AS133" s="214">
        <f t="shared" si="63"/>
        <v>33.526530612244898</v>
      </c>
      <c r="AT133" s="221">
        <f t="shared" si="44"/>
        <v>27.00197238658777</v>
      </c>
      <c r="AU133" s="214">
        <f t="shared" si="45"/>
        <v>22.212006489994589</v>
      </c>
      <c r="AV133" s="298">
        <f t="shared" si="46"/>
        <v>21.213842975206614</v>
      </c>
      <c r="AW133" s="221">
        <f t="shared" si="48"/>
        <v>17.825520833333332</v>
      </c>
      <c r="AX133" s="291">
        <f t="shared" si="49"/>
        <v>15.188609467455617</v>
      </c>
      <c r="AY133" s="214">
        <f t="shared" si="50"/>
        <v>14.620861516553932</v>
      </c>
      <c r="AZ133" s="221">
        <f t="shared" si="51"/>
        <v>12.640812557710065</v>
      </c>
      <c r="BA133" s="214">
        <f t="shared" si="53"/>
        <v>11.408333333333335</v>
      </c>
      <c r="BB133" s="221">
        <f t="shared" si="54"/>
        <v>9.1490309645800814</v>
      </c>
      <c r="BC133" s="181">
        <f t="shared" si="56"/>
        <v>8.6263390044108395</v>
      </c>
      <c r="BD133" s="214">
        <f t="shared" si="57"/>
        <v>8.1471930172584806</v>
      </c>
      <c r="BE133" s="221">
        <f t="shared" si="59"/>
        <v>6.2597165066300855</v>
      </c>
      <c r="BF133" s="214">
        <f t="shared" si="60"/>
        <v>5.6844290657439442</v>
      </c>
      <c r="BG133" s="279">
        <f t="shared" si="62"/>
        <v>5.4260800634165669</v>
      </c>
      <c r="BH133" s="221">
        <f t="shared" si="64"/>
        <v>4.9595459485569373</v>
      </c>
      <c r="BI133" s="271">
        <f t="shared" ref="BI133:BI164" si="65" xml:space="preserve"> 30*(B133/B$191)^2</f>
        <v>4.5506925207756233</v>
      </c>
      <c r="BJ133" s="311"/>
      <c r="BK133" s="285"/>
      <c r="BL133" s="184"/>
      <c r="BM133" s="184"/>
      <c r="BN133" s="183"/>
      <c r="BO133" s="184"/>
      <c r="BP133" s="183"/>
      <c r="BQ133" s="184"/>
      <c r="BR133" s="184"/>
      <c r="BS133" s="183"/>
      <c r="BT133" s="184"/>
      <c r="BU133" s="183"/>
      <c r="BV133" s="184"/>
      <c r="BW133" s="183"/>
      <c r="BX133" s="184"/>
      <c r="BY133" s="183"/>
      <c r="BZ133" s="184"/>
      <c r="CA133" s="183"/>
      <c r="CB133" s="184"/>
      <c r="CC133" s="183"/>
      <c r="CD133" s="184"/>
      <c r="CE133" s="183"/>
      <c r="CF133" s="184"/>
      <c r="CG133" s="183"/>
      <c r="CH133" s="184"/>
      <c r="CI133" s="183"/>
      <c r="CJ133" s="184"/>
      <c r="CK133" s="183"/>
      <c r="CL133" s="184"/>
      <c r="CM133" s="256"/>
    </row>
    <row r="134" spans="1:91" ht="10.5" customHeight="1">
      <c r="A134" s="179" t="str">
        <f t="shared" si="24"/>
        <v/>
      </c>
      <c r="B134" s="213">
        <v>0.38</v>
      </c>
      <c r="C134" s="212"/>
      <c r="D134" s="212"/>
      <c r="E134" s="212"/>
      <c r="F134" s="294"/>
      <c r="G134" s="212"/>
      <c r="H134" s="211"/>
      <c r="I134" s="210"/>
      <c r="J134" s="210"/>
      <c r="K134" s="210"/>
      <c r="L134" s="210"/>
      <c r="M134" s="270"/>
      <c r="N134" s="210"/>
      <c r="O134" s="210"/>
      <c r="P134" s="210"/>
      <c r="Q134" s="210"/>
      <c r="R134" s="210"/>
      <c r="S134" s="209"/>
      <c r="T134" s="207"/>
      <c r="U134" s="209"/>
      <c r="V134" s="207"/>
      <c r="W134" s="206"/>
      <c r="X134" s="206"/>
      <c r="Y134" s="207"/>
      <c r="Z134" s="206"/>
      <c r="AA134" s="206"/>
      <c r="AB134" s="207"/>
      <c r="AC134" s="206"/>
      <c r="AD134" s="206"/>
      <c r="AE134" s="208"/>
      <c r="AF134" s="206"/>
      <c r="AG134" s="206"/>
      <c r="AH134" s="208"/>
      <c r="AI134" s="206"/>
      <c r="AJ134" s="206"/>
      <c r="AK134" s="207"/>
      <c r="AL134" s="226"/>
      <c r="AM134" s="226"/>
      <c r="AN134" s="225">
        <f t="shared" si="55"/>
        <v>64.08284023668638</v>
      </c>
      <c r="AO134" s="316">
        <f t="shared" si="36"/>
        <v>64.08284023668638</v>
      </c>
      <c r="AP134" s="219">
        <f t="shared" si="58"/>
        <v>51.510107015457805</v>
      </c>
      <c r="AQ134" s="225">
        <f t="shared" si="61"/>
        <v>39.779614325068863</v>
      </c>
      <c r="AR134" s="310">
        <f t="shared" si="41"/>
        <v>37.474048442906579</v>
      </c>
      <c r="AS134" s="219">
        <f t="shared" si="63"/>
        <v>35.363265306122457</v>
      </c>
      <c r="AT134" s="225">
        <f t="shared" si="44"/>
        <v>28.481262327416175</v>
      </c>
      <c r="AU134" s="219">
        <f t="shared" si="45"/>
        <v>23.428880475932939</v>
      </c>
      <c r="AV134" s="301">
        <f t="shared" si="46"/>
        <v>22.376033057851242</v>
      </c>
      <c r="AW134" s="225">
        <f t="shared" si="48"/>
        <v>18.802083333333339</v>
      </c>
      <c r="AX134" s="290">
        <f t="shared" si="49"/>
        <v>16.020710059171595</v>
      </c>
      <c r="AY134" s="219">
        <f t="shared" si="50"/>
        <v>15.421858312566748</v>
      </c>
      <c r="AZ134" s="225">
        <f t="shared" si="51"/>
        <v>13.333333333333336</v>
      </c>
      <c r="BA134" s="219">
        <f t="shared" si="53"/>
        <v>12.033333333333335</v>
      </c>
      <c r="BB134" s="225">
        <f t="shared" si="54"/>
        <v>9.650256181777678</v>
      </c>
      <c r="BC134" s="271">
        <f t="shared" si="56"/>
        <v>9.0989287964713288</v>
      </c>
      <c r="BD134" s="219">
        <f t="shared" si="57"/>
        <v>8.5935330291608825</v>
      </c>
      <c r="BE134" s="225">
        <f t="shared" si="59"/>
        <v>6.6026520347507995</v>
      </c>
      <c r="BF134" s="219">
        <f t="shared" si="60"/>
        <v>5.9958477508650523</v>
      </c>
      <c r="BG134" s="276">
        <f t="shared" si="62"/>
        <v>5.7233452239397549</v>
      </c>
      <c r="BH134" s="225">
        <f t="shared" si="64"/>
        <v>5.2312522642192976</v>
      </c>
      <c r="BI134" s="203">
        <f t="shared" si="65"/>
        <v>4.8000000000000007</v>
      </c>
      <c r="BJ134" s="313"/>
      <c r="BK134" s="286"/>
      <c r="BL134" s="206"/>
      <c r="BM134" s="206"/>
      <c r="BN134" s="207"/>
      <c r="BO134" s="206"/>
      <c r="BP134" s="207"/>
      <c r="BQ134" s="206"/>
      <c r="BR134" s="206"/>
      <c r="BS134" s="207"/>
      <c r="BT134" s="206"/>
      <c r="BU134" s="207"/>
      <c r="BV134" s="206"/>
      <c r="BW134" s="207"/>
      <c r="BX134" s="206"/>
      <c r="BY134" s="207"/>
      <c r="BZ134" s="206"/>
      <c r="CA134" s="207"/>
      <c r="CB134" s="206"/>
      <c r="CC134" s="207"/>
      <c r="CD134" s="206"/>
      <c r="CE134" s="207"/>
      <c r="CF134" s="206"/>
      <c r="CG134" s="207"/>
      <c r="CH134" s="206"/>
      <c r="CI134" s="207"/>
      <c r="CJ134" s="206"/>
      <c r="CK134" s="207"/>
      <c r="CL134" s="206"/>
      <c r="CM134" s="254"/>
    </row>
    <row r="135" spans="1:91" ht="10.5" customHeight="1" thickBot="1">
      <c r="A135" s="179" t="str">
        <f t="shared" si="24"/>
        <v/>
      </c>
      <c r="B135" s="201">
        <v>0.39</v>
      </c>
      <c r="C135" s="200"/>
      <c r="D135" s="200"/>
      <c r="E135" s="200"/>
      <c r="F135" s="293"/>
      <c r="G135" s="200"/>
      <c r="H135" s="199"/>
      <c r="I135" s="198"/>
      <c r="J135" s="198"/>
      <c r="K135" s="198"/>
      <c r="L135" s="198"/>
      <c r="M135" s="267"/>
      <c r="N135" s="198"/>
      <c r="O135" s="198"/>
      <c r="P135" s="198"/>
      <c r="Q135" s="198"/>
      <c r="R135" s="198"/>
      <c r="S135" s="197"/>
      <c r="T135" s="194"/>
      <c r="U135" s="197"/>
      <c r="V135" s="194"/>
      <c r="W135" s="195"/>
      <c r="X135" s="195"/>
      <c r="Y135" s="194"/>
      <c r="Z135" s="195"/>
      <c r="AA135" s="195"/>
      <c r="AB135" s="194"/>
      <c r="AC135" s="195"/>
      <c r="AD135" s="195"/>
      <c r="AE135" s="196"/>
      <c r="AF135" s="195"/>
      <c r="AG135" s="195"/>
      <c r="AH135" s="196"/>
      <c r="AI135" s="195"/>
      <c r="AJ135" s="195"/>
      <c r="AK135" s="194"/>
      <c r="AL135" s="224"/>
      <c r="AM135" s="224"/>
      <c r="AN135" s="223">
        <f t="shared" si="55"/>
        <v>67.5</v>
      </c>
      <c r="AO135" s="315">
        <f t="shared" si="36"/>
        <v>67.5</v>
      </c>
      <c r="AP135" s="217">
        <f t="shared" si="58"/>
        <v>54.256837098692053</v>
      </c>
      <c r="AQ135" s="223">
        <f t="shared" si="61"/>
        <v>41.900826446281002</v>
      </c>
      <c r="AR135" s="312">
        <f t="shared" si="41"/>
        <v>39.47231833910034</v>
      </c>
      <c r="AS135" s="217">
        <f t="shared" si="63"/>
        <v>37.248979591836736</v>
      </c>
      <c r="AT135" s="238">
        <v>30</v>
      </c>
      <c r="AU135" s="217">
        <f t="shared" si="45"/>
        <v>24.678204434829642</v>
      </c>
      <c r="AV135" s="298">
        <f t="shared" si="46"/>
        <v>23.569214876033058</v>
      </c>
      <c r="AW135" s="223">
        <f t="shared" si="48"/>
        <v>19.804687500000007</v>
      </c>
      <c r="AX135" s="291">
        <f t="shared" si="49"/>
        <v>16.875</v>
      </c>
      <c r="AY135" s="217">
        <f t="shared" si="50"/>
        <v>16.244215023139905</v>
      </c>
      <c r="AZ135" s="223">
        <f t="shared" si="51"/>
        <v>14.044321329639896</v>
      </c>
      <c r="BA135" s="217">
        <f t="shared" si="53"/>
        <v>12.675000000000001</v>
      </c>
      <c r="BB135" s="223">
        <f t="shared" si="54"/>
        <v>10.16484740476721</v>
      </c>
      <c r="BC135" s="181">
        <f t="shared" si="56"/>
        <v>9.5841209829867697</v>
      </c>
      <c r="BD135" s="217">
        <f t="shared" si="57"/>
        <v>9.0517754413806788</v>
      </c>
      <c r="BE135" s="223">
        <f t="shared" si="59"/>
        <v>6.9547325102880651</v>
      </c>
      <c r="BF135" s="217">
        <f t="shared" si="60"/>
        <v>6.3155709342560566</v>
      </c>
      <c r="BG135" s="279">
        <f t="shared" si="62"/>
        <v>6.028537455410226</v>
      </c>
      <c r="BH135" s="223">
        <f t="shared" si="64"/>
        <v>5.5102040816326525</v>
      </c>
      <c r="BI135" s="192">
        <f t="shared" si="65"/>
        <v>5.0559556786703617</v>
      </c>
      <c r="BJ135" s="317"/>
      <c r="BK135" s="304"/>
      <c r="BL135" s="195"/>
      <c r="BM135" s="195"/>
      <c r="BN135" s="194"/>
      <c r="BO135" s="195"/>
      <c r="BP135" s="194"/>
      <c r="BQ135" s="195"/>
      <c r="BR135" s="195"/>
      <c r="BS135" s="194"/>
      <c r="BT135" s="195"/>
      <c r="BU135" s="194"/>
      <c r="BV135" s="195"/>
      <c r="BW135" s="194"/>
      <c r="BX135" s="195"/>
      <c r="BY135" s="194"/>
      <c r="BZ135" s="195"/>
      <c r="CA135" s="194"/>
      <c r="CB135" s="195"/>
      <c r="CC135" s="194"/>
      <c r="CD135" s="195"/>
      <c r="CE135" s="194"/>
      <c r="CF135" s="195"/>
      <c r="CG135" s="194"/>
      <c r="CH135" s="195"/>
      <c r="CI135" s="194"/>
      <c r="CJ135" s="195"/>
      <c r="CK135" s="194"/>
      <c r="CL135" s="195"/>
      <c r="CM135" s="258"/>
    </row>
    <row r="136" spans="1:91" ht="10.5" customHeight="1" thickBot="1">
      <c r="A136" s="179" t="str">
        <f t="shared" si="24"/>
        <v/>
      </c>
      <c r="B136" s="190">
        <v>0.4</v>
      </c>
      <c r="C136" s="189"/>
      <c r="D136" s="189"/>
      <c r="E136" s="189"/>
      <c r="F136" s="292"/>
      <c r="G136" s="273"/>
      <c r="H136" s="188"/>
      <c r="I136" s="187"/>
      <c r="J136" s="187"/>
      <c r="K136" s="187"/>
      <c r="L136" s="187"/>
      <c r="M136" s="273"/>
      <c r="N136" s="187"/>
      <c r="O136" s="187"/>
      <c r="P136" s="187"/>
      <c r="Q136" s="187"/>
      <c r="R136" s="187"/>
      <c r="S136" s="186"/>
      <c r="T136" s="183"/>
      <c r="U136" s="186"/>
      <c r="V136" s="183"/>
      <c r="W136" s="184"/>
      <c r="X136" s="184"/>
      <c r="Y136" s="183"/>
      <c r="Z136" s="184"/>
      <c r="AA136" s="184"/>
      <c r="AB136" s="183"/>
      <c r="AC136" s="184"/>
      <c r="AD136" s="184"/>
      <c r="AE136" s="185"/>
      <c r="AF136" s="184"/>
      <c r="AG136" s="184"/>
      <c r="AH136" s="185"/>
      <c r="AI136" s="184"/>
      <c r="AJ136" s="184"/>
      <c r="AK136" s="183"/>
      <c r="AL136" s="182"/>
      <c r="AM136" s="182"/>
      <c r="AN136" s="220">
        <f t="shared" si="55"/>
        <v>71.005917159763314</v>
      </c>
      <c r="AO136" s="316">
        <f t="shared" si="36"/>
        <v>71.005917159763314</v>
      </c>
      <c r="AP136" s="214">
        <f t="shared" si="58"/>
        <v>57.074910820451848</v>
      </c>
      <c r="AQ136" s="221">
        <f t="shared" si="61"/>
        <v>44.0771349862259</v>
      </c>
      <c r="AR136" s="310">
        <f t="shared" si="41"/>
        <v>41.522491349480973</v>
      </c>
      <c r="AS136" s="214">
        <f t="shared" si="63"/>
        <v>39.183673469387763</v>
      </c>
      <c r="AT136" s="221">
        <f t="shared" ref="AT136:AT156" si="66" xml:space="preserve"> 30*(B136/B$135)^2</f>
        <v>31.558185404339255</v>
      </c>
      <c r="AU136" s="214">
        <f t="shared" si="45"/>
        <v>25.959978366684698</v>
      </c>
      <c r="AV136" s="301">
        <f t="shared" si="46"/>
        <v>24.793388429752071</v>
      </c>
      <c r="AW136" s="221">
        <f t="shared" si="48"/>
        <v>20.833333333333336</v>
      </c>
      <c r="AX136" s="290">
        <f t="shared" si="49"/>
        <v>17.751479289940828</v>
      </c>
      <c r="AY136" s="214">
        <f t="shared" si="50"/>
        <v>17.087931648273408</v>
      </c>
      <c r="AZ136" s="221">
        <f t="shared" si="51"/>
        <v>14.773776546629737</v>
      </c>
      <c r="BA136" s="214">
        <f t="shared" si="53"/>
        <v>13.333333333333336</v>
      </c>
      <c r="BB136" s="221">
        <f t="shared" si="54"/>
        <v>10.692804633548674</v>
      </c>
      <c r="BC136" s="271">
        <f t="shared" si="56"/>
        <v>10.081915563957157</v>
      </c>
      <c r="BD136" s="214">
        <f t="shared" si="57"/>
        <v>9.5219202539178749</v>
      </c>
      <c r="BE136" s="221">
        <f t="shared" si="59"/>
        <v>7.3159579332418829</v>
      </c>
      <c r="BF136" s="214">
        <f t="shared" si="60"/>
        <v>6.6435986159169564</v>
      </c>
      <c r="BG136" s="276">
        <f t="shared" si="62"/>
        <v>6.3416567578279839</v>
      </c>
      <c r="BH136" s="221">
        <f t="shared" si="64"/>
        <v>5.7964014007970048</v>
      </c>
      <c r="BI136" s="181">
        <f t="shared" si="65"/>
        <v>5.3185595567867043</v>
      </c>
      <c r="BJ136" s="311"/>
      <c r="BK136" s="285"/>
      <c r="BL136" s="184"/>
      <c r="BM136" s="184"/>
      <c r="BN136" s="183"/>
      <c r="BO136" s="184"/>
      <c r="BP136" s="183"/>
      <c r="BQ136" s="184"/>
      <c r="BR136" s="184"/>
      <c r="BS136" s="183"/>
      <c r="BT136" s="184"/>
      <c r="BU136" s="183"/>
      <c r="BV136" s="184"/>
      <c r="BW136" s="183"/>
      <c r="BX136" s="184"/>
      <c r="BY136" s="183"/>
      <c r="BZ136" s="184"/>
      <c r="CA136" s="183"/>
      <c r="CB136" s="184"/>
      <c r="CC136" s="183"/>
      <c r="CD136" s="184"/>
      <c r="CE136" s="183"/>
      <c r="CF136" s="184"/>
      <c r="CG136" s="183"/>
      <c r="CH136" s="184"/>
      <c r="CI136" s="183"/>
      <c r="CJ136" s="184"/>
      <c r="CK136" s="183"/>
      <c r="CL136" s="184"/>
      <c r="CM136" s="256"/>
    </row>
    <row r="137" spans="1:91" ht="10.5" customHeight="1" thickBot="1">
      <c r="A137" s="179" t="str">
        <f t="shared" si="24"/>
        <v/>
      </c>
      <c r="B137" s="190">
        <v>0.41</v>
      </c>
      <c r="C137" s="189"/>
      <c r="D137" s="189"/>
      <c r="E137" s="189"/>
      <c r="F137" s="292"/>
      <c r="G137" s="273"/>
      <c r="H137" s="188"/>
      <c r="I137" s="187"/>
      <c r="J137" s="187"/>
      <c r="K137" s="187"/>
      <c r="L137" s="187"/>
      <c r="M137" s="273"/>
      <c r="N137" s="187"/>
      <c r="O137" s="187"/>
      <c r="P137" s="187"/>
      <c r="Q137" s="187"/>
      <c r="R137" s="187"/>
      <c r="S137" s="186"/>
      <c r="T137" s="183"/>
      <c r="U137" s="186"/>
      <c r="V137" s="183"/>
      <c r="W137" s="184"/>
      <c r="X137" s="184"/>
      <c r="Y137" s="183"/>
      <c r="Z137" s="184"/>
      <c r="AA137" s="184"/>
      <c r="AB137" s="183"/>
      <c r="AC137" s="184"/>
      <c r="AD137" s="184"/>
      <c r="AE137" s="185"/>
      <c r="AF137" s="184"/>
      <c r="AG137" s="184"/>
      <c r="AH137" s="185"/>
      <c r="AI137" s="184"/>
      <c r="AJ137" s="184"/>
      <c r="AK137" s="183"/>
      <c r="AL137" s="184"/>
      <c r="AM137" s="184"/>
      <c r="AN137" s="215"/>
      <c r="AO137" s="315">
        <f t="shared" si="36"/>
        <v>74.600591715976321</v>
      </c>
      <c r="AP137" s="214">
        <f t="shared" si="58"/>
        <v>59.964328180737212</v>
      </c>
      <c r="AQ137" s="221">
        <f t="shared" si="61"/>
        <v>46.308539944903565</v>
      </c>
      <c r="AR137" s="312">
        <f t="shared" si="41"/>
        <v>43.624567474048433</v>
      </c>
      <c r="AS137" s="214">
        <f t="shared" si="63"/>
        <v>41.167346938775516</v>
      </c>
      <c r="AT137" s="221">
        <f t="shared" si="66"/>
        <v>33.155818540433913</v>
      </c>
      <c r="AU137" s="214">
        <f t="shared" si="45"/>
        <v>27.274202271498101</v>
      </c>
      <c r="AV137" s="298">
        <f t="shared" si="46"/>
        <v>26.048553719008261</v>
      </c>
      <c r="AW137" s="221">
        <f t="shared" si="48"/>
        <v>21.888020833333332</v>
      </c>
      <c r="AX137" s="291">
        <f t="shared" si="49"/>
        <v>18.65014792899408</v>
      </c>
      <c r="AY137" s="214">
        <f t="shared" si="50"/>
        <v>17.953008187967246</v>
      </c>
      <c r="AZ137" s="221">
        <f t="shared" si="51"/>
        <v>15.521698984302864</v>
      </c>
      <c r="BA137" s="214">
        <f t="shared" si="53"/>
        <v>14.008333333333333</v>
      </c>
      <c r="BB137" s="221">
        <f t="shared" si="54"/>
        <v>11.234127868122073</v>
      </c>
      <c r="BC137" s="181">
        <f t="shared" si="56"/>
        <v>10.592312539382482</v>
      </c>
      <c r="BD137" s="214">
        <f t="shared" si="57"/>
        <v>10.003967466772465</v>
      </c>
      <c r="BE137" s="221">
        <f t="shared" si="59"/>
        <v>7.6863283036122523</v>
      </c>
      <c r="BF137" s="214">
        <f t="shared" si="60"/>
        <v>6.9799307958477508</v>
      </c>
      <c r="BG137" s="279">
        <f t="shared" si="62"/>
        <v>6.6627031311930232</v>
      </c>
      <c r="BH137" s="221">
        <f t="shared" si="64"/>
        <v>6.0898442217123527</v>
      </c>
      <c r="BI137" s="181">
        <f t="shared" si="65"/>
        <v>5.5878116343490314</v>
      </c>
      <c r="BJ137" s="311"/>
      <c r="BK137" s="261"/>
      <c r="BL137" s="184"/>
      <c r="BM137" s="184"/>
      <c r="BN137" s="183"/>
      <c r="BO137" s="184"/>
      <c r="BP137" s="183"/>
      <c r="BQ137" s="184"/>
      <c r="BR137" s="184"/>
      <c r="BS137" s="183"/>
      <c r="BT137" s="184"/>
      <c r="BU137" s="183"/>
      <c r="BV137" s="184"/>
      <c r="BW137" s="183"/>
      <c r="BX137" s="184"/>
      <c r="BY137" s="183"/>
      <c r="BZ137" s="184"/>
      <c r="CA137" s="183"/>
      <c r="CB137" s="184"/>
      <c r="CC137" s="183"/>
      <c r="CD137" s="184"/>
      <c r="CE137" s="183"/>
      <c r="CF137" s="184"/>
      <c r="CG137" s="183"/>
      <c r="CH137" s="184"/>
      <c r="CI137" s="183"/>
      <c r="CJ137" s="184"/>
      <c r="CK137" s="183"/>
      <c r="CL137" s="184"/>
      <c r="CM137" s="256"/>
    </row>
    <row r="138" spans="1:91" ht="10.5" customHeight="1">
      <c r="A138" s="179" t="str">
        <f t="shared" ref="A138:A201" si="67">IF(B138=$A$7,"this row","")</f>
        <v/>
      </c>
      <c r="B138" s="213">
        <v>0.42</v>
      </c>
      <c r="C138" s="212"/>
      <c r="D138" s="212"/>
      <c r="E138" s="212"/>
      <c r="F138" s="294"/>
      <c r="G138" s="270"/>
      <c r="H138" s="211"/>
      <c r="I138" s="210"/>
      <c r="J138" s="210"/>
      <c r="K138" s="210"/>
      <c r="L138" s="210"/>
      <c r="M138" s="270"/>
      <c r="N138" s="210"/>
      <c r="O138" s="210"/>
      <c r="P138" s="210"/>
      <c r="Q138" s="210"/>
      <c r="R138" s="210"/>
      <c r="S138" s="209"/>
      <c r="T138" s="207"/>
      <c r="U138" s="209"/>
      <c r="V138" s="207"/>
      <c r="W138" s="206"/>
      <c r="X138" s="206"/>
      <c r="Y138" s="207"/>
      <c r="Z138" s="206"/>
      <c r="AA138" s="206"/>
      <c r="AB138" s="207"/>
      <c r="AC138" s="206"/>
      <c r="AD138" s="206"/>
      <c r="AE138" s="208"/>
      <c r="AF138" s="206"/>
      <c r="AG138" s="206"/>
      <c r="AH138" s="208"/>
      <c r="AI138" s="206"/>
      <c r="AJ138" s="206"/>
      <c r="AK138" s="207"/>
      <c r="AL138" s="206"/>
      <c r="AM138" s="206"/>
      <c r="AN138" s="205"/>
      <c r="AO138" s="206"/>
      <c r="AP138" s="219">
        <f t="shared" si="58"/>
        <v>62.925089179548166</v>
      </c>
      <c r="AQ138" s="225">
        <f t="shared" si="61"/>
        <v>48.595041322314046</v>
      </c>
      <c r="AR138" s="310">
        <f t="shared" si="41"/>
        <v>45.778546712802758</v>
      </c>
      <c r="AS138" s="219">
        <f t="shared" si="63"/>
        <v>43.199999999999996</v>
      </c>
      <c r="AT138" s="225">
        <f t="shared" si="66"/>
        <v>34.792899408284022</v>
      </c>
      <c r="AU138" s="219">
        <f t="shared" si="45"/>
        <v>28.620876149269876</v>
      </c>
      <c r="AV138" s="301">
        <f t="shared" si="46"/>
        <v>27.334710743801651</v>
      </c>
      <c r="AW138" s="225">
        <f t="shared" si="48"/>
        <v>22.96875</v>
      </c>
      <c r="AX138" s="290">
        <f t="shared" si="49"/>
        <v>19.571005917159759</v>
      </c>
      <c r="AY138" s="219">
        <f t="shared" si="50"/>
        <v>18.83944464222143</v>
      </c>
      <c r="AZ138" s="225">
        <f t="shared" si="51"/>
        <v>16.288088642659282</v>
      </c>
      <c r="BA138" s="219">
        <f t="shared" si="53"/>
        <v>14.699999999999998</v>
      </c>
      <c r="BB138" s="225">
        <f t="shared" si="54"/>
        <v>11.788817108487411</v>
      </c>
      <c r="BC138" s="271">
        <f t="shared" si="56"/>
        <v>11.115311909262761</v>
      </c>
      <c r="BD138" s="219">
        <f t="shared" si="57"/>
        <v>10.497917079944454</v>
      </c>
      <c r="BE138" s="225">
        <f t="shared" si="59"/>
        <v>8.0658436213991749</v>
      </c>
      <c r="BF138" s="219">
        <f t="shared" si="60"/>
        <v>7.3245674740484441</v>
      </c>
      <c r="BG138" s="276">
        <f t="shared" si="62"/>
        <v>6.99167657550535</v>
      </c>
      <c r="BH138" s="225">
        <f t="shared" si="64"/>
        <v>6.3905325443786971</v>
      </c>
      <c r="BI138" s="203">
        <f t="shared" si="65"/>
        <v>5.8637119113573402</v>
      </c>
      <c r="BJ138" s="313"/>
      <c r="BK138" s="268"/>
      <c r="BL138" s="206"/>
      <c r="BM138" s="206"/>
      <c r="BN138" s="207"/>
      <c r="BO138" s="206"/>
      <c r="BP138" s="207"/>
      <c r="BQ138" s="206"/>
      <c r="BR138" s="206"/>
      <c r="BS138" s="207"/>
      <c r="BT138" s="206"/>
      <c r="BU138" s="207"/>
      <c r="BV138" s="206"/>
      <c r="BW138" s="207"/>
      <c r="BX138" s="206"/>
      <c r="BY138" s="207"/>
      <c r="BZ138" s="206"/>
      <c r="CA138" s="207"/>
      <c r="CB138" s="206"/>
      <c r="CC138" s="207"/>
      <c r="CD138" s="206"/>
      <c r="CE138" s="207"/>
      <c r="CF138" s="206"/>
      <c r="CG138" s="207"/>
      <c r="CH138" s="206"/>
      <c r="CI138" s="207"/>
      <c r="CJ138" s="206"/>
      <c r="CK138" s="207"/>
      <c r="CL138" s="206"/>
      <c r="CM138" s="254"/>
    </row>
    <row r="139" spans="1:91" ht="10.5" customHeight="1" thickBot="1">
      <c r="A139" s="179" t="str">
        <f t="shared" si="67"/>
        <v/>
      </c>
      <c r="B139" s="201">
        <v>0.43</v>
      </c>
      <c r="C139" s="200"/>
      <c r="D139" s="200"/>
      <c r="E139" s="200"/>
      <c r="F139" s="293"/>
      <c r="G139" s="267"/>
      <c r="H139" s="199"/>
      <c r="I139" s="198"/>
      <c r="J139" s="198"/>
      <c r="K139" s="198"/>
      <c r="L139" s="198"/>
      <c r="M139" s="267"/>
      <c r="N139" s="198"/>
      <c r="O139" s="198"/>
      <c r="P139" s="198"/>
      <c r="Q139" s="198"/>
      <c r="R139" s="198"/>
      <c r="S139" s="197"/>
      <c r="T139" s="194"/>
      <c r="U139" s="197"/>
      <c r="V139" s="194"/>
      <c r="W139" s="195"/>
      <c r="X139" s="195"/>
      <c r="Y139" s="194"/>
      <c r="Z139" s="195"/>
      <c r="AA139" s="195"/>
      <c r="AB139" s="194"/>
      <c r="AC139" s="195"/>
      <c r="AD139" s="195"/>
      <c r="AE139" s="196"/>
      <c r="AF139" s="195"/>
      <c r="AG139" s="195"/>
      <c r="AH139" s="196"/>
      <c r="AI139" s="195"/>
      <c r="AJ139" s="195"/>
      <c r="AK139" s="194"/>
      <c r="AL139" s="195"/>
      <c r="AM139" s="195"/>
      <c r="AN139" s="228"/>
      <c r="AO139" s="195"/>
      <c r="AP139" s="217">
        <f t="shared" si="58"/>
        <v>65.957193816884669</v>
      </c>
      <c r="AQ139" s="223">
        <f t="shared" si="61"/>
        <v>50.936639118457293</v>
      </c>
      <c r="AR139" s="312">
        <f t="shared" si="41"/>
        <v>47.984429065743939</v>
      </c>
      <c r="AS139" s="217">
        <f t="shared" si="63"/>
        <v>45.28163265306123</v>
      </c>
      <c r="AT139" s="223">
        <f t="shared" si="66"/>
        <v>36.46942800788954</v>
      </c>
      <c r="AU139" s="234">
        <v>30</v>
      </c>
      <c r="AV139" s="298">
        <f t="shared" si="46"/>
        <v>28.651859504132233</v>
      </c>
      <c r="AW139" s="223">
        <f t="shared" si="48"/>
        <v>24.075520833333336</v>
      </c>
      <c r="AX139" s="291">
        <f t="shared" si="49"/>
        <v>20.514053254437869</v>
      </c>
      <c r="AY139" s="217">
        <f t="shared" si="50"/>
        <v>19.747241011035953</v>
      </c>
      <c r="AZ139" s="223">
        <f t="shared" si="51"/>
        <v>17.072945521698983</v>
      </c>
      <c r="BA139" s="217">
        <f t="shared" si="53"/>
        <v>15.408333333333333</v>
      </c>
      <c r="BB139" s="223">
        <f t="shared" si="54"/>
        <v>12.356872354644686</v>
      </c>
      <c r="BC139" s="181">
        <f t="shared" si="56"/>
        <v>11.650913673597984</v>
      </c>
      <c r="BD139" s="217">
        <f t="shared" si="57"/>
        <v>11.00376909343384</v>
      </c>
      <c r="BE139" s="223">
        <f t="shared" si="59"/>
        <v>8.4545038866026498</v>
      </c>
      <c r="BF139" s="217">
        <f t="shared" si="60"/>
        <v>7.6775086505190302</v>
      </c>
      <c r="BG139" s="279">
        <f t="shared" si="62"/>
        <v>7.3285770907649619</v>
      </c>
      <c r="BH139" s="223">
        <f t="shared" si="64"/>
        <v>6.6984663687960389</v>
      </c>
      <c r="BI139" s="192">
        <f t="shared" si="65"/>
        <v>6.1462603878116351</v>
      </c>
      <c r="BJ139" s="302"/>
      <c r="BK139" s="263"/>
      <c r="BL139" s="195"/>
      <c r="BM139" s="195"/>
      <c r="BN139" s="194"/>
      <c r="BO139" s="195"/>
      <c r="BP139" s="194"/>
      <c r="BQ139" s="195"/>
      <c r="BR139" s="195"/>
      <c r="BS139" s="194"/>
      <c r="BT139" s="195"/>
      <c r="BU139" s="194"/>
      <c r="BV139" s="195"/>
      <c r="BW139" s="194"/>
      <c r="BX139" s="195"/>
      <c r="BY139" s="194"/>
      <c r="BZ139" s="195"/>
      <c r="CA139" s="194"/>
      <c r="CB139" s="195"/>
      <c r="CC139" s="194"/>
      <c r="CD139" s="195"/>
      <c r="CE139" s="194"/>
      <c r="CF139" s="195"/>
      <c r="CG139" s="194"/>
      <c r="CH139" s="195"/>
      <c r="CI139" s="194"/>
      <c r="CJ139" s="195"/>
      <c r="CK139" s="194"/>
      <c r="CL139" s="195"/>
      <c r="CM139" s="258"/>
    </row>
    <row r="140" spans="1:91" ht="10.5" customHeight="1" thickBot="1">
      <c r="A140" s="179" t="str">
        <f t="shared" si="67"/>
        <v/>
      </c>
      <c r="B140" s="190">
        <v>0.44</v>
      </c>
      <c r="C140" s="189"/>
      <c r="D140" s="189"/>
      <c r="E140" s="189"/>
      <c r="F140" s="292"/>
      <c r="G140" s="273"/>
      <c r="H140" s="188"/>
      <c r="I140" s="187"/>
      <c r="J140" s="187"/>
      <c r="K140" s="187"/>
      <c r="L140" s="187"/>
      <c r="M140" s="273"/>
      <c r="N140" s="187"/>
      <c r="O140" s="187"/>
      <c r="P140" s="187"/>
      <c r="Q140" s="187"/>
      <c r="R140" s="187"/>
      <c r="S140" s="186"/>
      <c r="T140" s="183"/>
      <c r="U140" s="186"/>
      <c r="V140" s="183"/>
      <c r="W140" s="184"/>
      <c r="X140" s="184"/>
      <c r="Y140" s="183"/>
      <c r="Z140" s="184"/>
      <c r="AA140" s="184"/>
      <c r="AB140" s="183"/>
      <c r="AC140" s="184"/>
      <c r="AD140" s="184"/>
      <c r="AE140" s="185"/>
      <c r="AF140" s="184"/>
      <c r="AG140" s="184"/>
      <c r="AH140" s="185"/>
      <c r="AI140" s="184"/>
      <c r="AJ140" s="184"/>
      <c r="AK140" s="183"/>
      <c r="AL140" s="184"/>
      <c r="AM140" s="184"/>
      <c r="AN140" s="215"/>
      <c r="AO140" s="184"/>
      <c r="AP140" s="214">
        <f t="shared" si="58"/>
        <v>69.060642092746747</v>
      </c>
      <c r="AQ140" s="221">
        <f t="shared" si="61"/>
        <v>53.333333333333329</v>
      </c>
      <c r="AR140" s="310">
        <f t="shared" si="41"/>
        <v>50.242214532871962</v>
      </c>
      <c r="AS140" s="214">
        <f t="shared" si="63"/>
        <v>47.412244897959198</v>
      </c>
      <c r="AT140" s="221">
        <f t="shared" si="66"/>
        <v>38.185404339250496</v>
      </c>
      <c r="AU140" s="214">
        <f t="shared" ref="AU140:AU162" si="68" xml:space="preserve"> 30*(B140/B$139)^2</f>
        <v>31.411573823688485</v>
      </c>
      <c r="AV140" s="301">
        <f t="shared" si="46"/>
        <v>30</v>
      </c>
      <c r="AW140" s="221">
        <f t="shared" si="48"/>
        <v>25.208333333333336</v>
      </c>
      <c r="AX140" s="290">
        <f t="shared" si="49"/>
        <v>21.479289940828401</v>
      </c>
      <c r="AY140" s="214">
        <f t="shared" si="50"/>
        <v>20.676397294410819</v>
      </c>
      <c r="AZ140" s="221">
        <f t="shared" si="51"/>
        <v>17.876269621421979</v>
      </c>
      <c r="BA140" s="214">
        <f t="shared" si="53"/>
        <v>16.133333333333336</v>
      </c>
      <c r="BB140" s="221">
        <f t="shared" si="54"/>
        <v>12.938293606593897</v>
      </c>
      <c r="BC140" s="271">
        <f t="shared" si="56"/>
        <v>12.199117832388156</v>
      </c>
      <c r="BD140" s="214">
        <f t="shared" si="57"/>
        <v>11.521523507240628</v>
      </c>
      <c r="BE140" s="221">
        <f t="shared" si="59"/>
        <v>8.8523090992226781</v>
      </c>
      <c r="BF140" s="214">
        <f t="shared" si="60"/>
        <v>8.0387543252595179</v>
      </c>
      <c r="BG140" s="276">
        <f t="shared" si="62"/>
        <v>7.6734046769718596</v>
      </c>
      <c r="BH140" s="221">
        <f t="shared" si="64"/>
        <v>7.0136456949643762</v>
      </c>
      <c r="BI140" s="214">
        <f t="shared" si="65"/>
        <v>6.4354570637119117</v>
      </c>
      <c r="BJ140" s="314">
        <f t="shared" ref="BJ140:BJ171" si="69" xml:space="preserve"> 30*(B140/B$198)^2</f>
        <v>4.7999999999999989</v>
      </c>
      <c r="BK140" s="261"/>
      <c r="BL140" s="184"/>
      <c r="BM140" s="184"/>
      <c r="BN140" s="183"/>
      <c r="BO140" s="184"/>
      <c r="BP140" s="183"/>
      <c r="BQ140" s="184"/>
      <c r="BR140" s="184"/>
      <c r="BS140" s="183"/>
      <c r="BT140" s="184"/>
      <c r="BU140" s="183"/>
      <c r="BV140" s="184"/>
      <c r="BW140" s="183"/>
      <c r="BX140" s="184"/>
      <c r="BY140" s="183"/>
      <c r="BZ140" s="184"/>
      <c r="CA140" s="183"/>
      <c r="CB140" s="184"/>
      <c r="CC140" s="183"/>
      <c r="CD140" s="184"/>
      <c r="CE140" s="183"/>
      <c r="CF140" s="184"/>
      <c r="CG140" s="183"/>
      <c r="CH140" s="184"/>
      <c r="CI140" s="183"/>
      <c r="CJ140" s="184"/>
      <c r="CK140" s="183"/>
      <c r="CL140" s="184"/>
      <c r="CM140" s="256"/>
    </row>
    <row r="141" spans="1:91" ht="10.5" customHeight="1" thickBot="1">
      <c r="A141" s="179" t="str">
        <f t="shared" si="67"/>
        <v/>
      </c>
      <c r="B141" s="190">
        <v>0.45</v>
      </c>
      <c r="C141" s="189"/>
      <c r="D141" s="189"/>
      <c r="E141" s="189"/>
      <c r="F141" s="292"/>
      <c r="G141" s="273"/>
      <c r="H141" s="188"/>
      <c r="I141" s="187"/>
      <c r="J141" s="187"/>
      <c r="K141" s="187"/>
      <c r="L141" s="187"/>
      <c r="M141" s="273"/>
      <c r="N141" s="187"/>
      <c r="O141" s="187"/>
      <c r="P141" s="187"/>
      <c r="Q141" s="187"/>
      <c r="R141" s="187"/>
      <c r="S141" s="186"/>
      <c r="T141" s="183"/>
      <c r="U141" s="186"/>
      <c r="V141" s="183"/>
      <c r="W141" s="184"/>
      <c r="X141" s="184"/>
      <c r="Y141" s="183"/>
      <c r="Z141" s="184"/>
      <c r="AA141" s="184"/>
      <c r="AB141" s="183"/>
      <c r="AC141" s="184"/>
      <c r="AD141" s="184"/>
      <c r="AE141" s="185"/>
      <c r="AF141" s="184"/>
      <c r="AG141" s="184"/>
      <c r="AH141" s="185"/>
      <c r="AI141" s="184"/>
      <c r="AJ141" s="184"/>
      <c r="AK141" s="183"/>
      <c r="AL141" s="184"/>
      <c r="AM141" s="184"/>
      <c r="AN141" s="215"/>
      <c r="AO141" s="184"/>
      <c r="AP141" s="227">
        <f t="shared" si="58"/>
        <v>72.235434007134387</v>
      </c>
      <c r="AQ141" s="221">
        <f t="shared" si="61"/>
        <v>55.785123966942145</v>
      </c>
      <c r="AR141" s="312">
        <f t="shared" si="41"/>
        <v>52.55190311418685</v>
      </c>
      <c r="AS141" s="214">
        <f t="shared" si="63"/>
        <v>49.591836734693885</v>
      </c>
      <c r="AT141" s="221">
        <f t="shared" si="66"/>
        <v>39.940828402366854</v>
      </c>
      <c r="AU141" s="214">
        <f t="shared" si="68"/>
        <v>32.855597620335324</v>
      </c>
      <c r="AV141" s="298">
        <f t="shared" si="46"/>
        <v>31.379132231404959</v>
      </c>
      <c r="AW141" s="221">
        <f t="shared" si="48"/>
        <v>26.367187500000007</v>
      </c>
      <c r="AX141" s="291">
        <f t="shared" si="49"/>
        <v>22.466715976331361</v>
      </c>
      <c r="AY141" s="214">
        <f t="shared" si="50"/>
        <v>21.626913492346034</v>
      </c>
      <c r="AZ141" s="221">
        <f t="shared" si="51"/>
        <v>18.69806094182826</v>
      </c>
      <c r="BA141" s="214">
        <f t="shared" si="53"/>
        <v>16.875</v>
      </c>
      <c r="BB141" s="221">
        <f t="shared" si="54"/>
        <v>13.533080864335037</v>
      </c>
      <c r="BC141" s="181">
        <f t="shared" si="56"/>
        <v>12.759924385633276</v>
      </c>
      <c r="BD141" s="214">
        <f t="shared" si="57"/>
        <v>12.051180321364811</v>
      </c>
      <c r="BE141" s="221">
        <f t="shared" si="59"/>
        <v>9.2592592592592595</v>
      </c>
      <c r="BF141" s="214">
        <f t="shared" si="60"/>
        <v>8.4083044982698976</v>
      </c>
      <c r="BG141" s="279">
        <f t="shared" si="62"/>
        <v>8.0261593341260422</v>
      </c>
      <c r="BH141" s="221">
        <f t="shared" si="64"/>
        <v>7.33607052288371</v>
      </c>
      <c r="BI141" s="214">
        <f t="shared" si="65"/>
        <v>6.7313019390581728</v>
      </c>
      <c r="BJ141" s="272">
        <f t="shared" si="69"/>
        <v>5.0206611570247928</v>
      </c>
      <c r="BK141" s="240">
        <f t="shared" ref="BK141:BK172" si="70" xml:space="preserve"> 30*(B141/B$199)^2</f>
        <v>4.5935727788279781</v>
      </c>
      <c r="BL141" s="284"/>
      <c r="BM141" s="284"/>
      <c r="BN141" s="183"/>
      <c r="BO141" s="184"/>
      <c r="BP141" s="183"/>
      <c r="BQ141" s="184"/>
      <c r="BR141" s="184"/>
      <c r="BS141" s="183"/>
      <c r="BT141" s="184"/>
      <c r="BU141" s="183"/>
      <c r="BV141" s="184"/>
      <c r="BW141" s="183"/>
      <c r="BX141" s="184"/>
      <c r="BY141" s="183"/>
      <c r="BZ141" s="184"/>
      <c r="CA141" s="183"/>
      <c r="CB141" s="184"/>
      <c r="CC141" s="183"/>
      <c r="CD141" s="184"/>
      <c r="CE141" s="183"/>
      <c r="CF141" s="184"/>
      <c r="CG141" s="183"/>
      <c r="CH141" s="184"/>
      <c r="CI141" s="183"/>
      <c r="CJ141" s="184"/>
      <c r="CK141" s="183"/>
      <c r="CL141" s="184"/>
      <c r="CM141" s="256"/>
    </row>
    <row r="142" spans="1:91" ht="10.5" customHeight="1">
      <c r="A142" s="179" t="str">
        <f t="shared" si="67"/>
        <v/>
      </c>
      <c r="B142" s="213">
        <v>0.46</v>
      </c>
      <c r="C142" s="212"/>
      <c r="D142" s="212"/>
      <c r="E142" s="212"/>
      <c r="F142" s="294"/>
      <c r="G142" s="270"/>
      <c r="H142" s="211"/>
      <c r="I142" s="210"/>
      <c r="J142" s="210"/>
      <c r="K142" s="210"/>
      <c r="L142" s="210"/>
      <c r="M142" s="270"/>
      <c r="N142" s="210"/>
      <c r="O142" s="210"/>
      <c r="P142" s="210"/>
      <c r="Q142" s="210"/>
      <c r="R142" s="210"/>
      <c r="S142" s="209"/>
      <c r="T142" s="207"/>
      <c r="U142" s="209"/>
      <c r="V142" s="207"/>
      <c r="W142" s="206"/>
      <c r="X142" s="206"/>
      <c r="Y142" s="207"/>
      <c r="Z142" s="206"/>
      <c r="AA142" s="206"/>
      <c r="AB142" s="207"/>
      <c r="AC142" s="206"/>
      <c r="AD142" s="206"/>
      <c r="AE142" s="208"/>
      <c r="AF142" s="206"/>
      <c r="AG142" s="206"/>
      <c r="AH142" s="208"/>
      <c r="AI142" s="206"/>
      <c r="AJ142" s="206"/>
      <c r="AK142" s="207"/>
      <c r="AL142" s="206"/>
      <c r="AM142" s="206"/>
      <c r="AN142" s="207"/>
      <c r="AO142" s="206"/>
      <c r="AP142" s="182"/>
      <c r="AQ142" s="225">
        <f t="shared" si="61"/>
        <v>58.292011019283756</v>
      </c>
      <c r="AR142" s="310">
        <f t="shared" si="41"/>
        <v>54.913494809688572</v>
      </c>
      <c r="AS142" s="219">
        <f t="shared" si="63"/>
        <v>51.82040816326532</v>
      </c>
      <c r="AT142" s="225">
        <f t="shared" si="66"/>
        <v>41.735700197238664</v>
      </c>
      <c r="AU142" s="219">
        <f t="shared" si="68"/>
        <v>34.332071389940516</v>
      </c>
      <c r="AV142" s="301">
        <f t="shared" si="46"/>
        <v>32.789256198347104</v>
      </c>
      <c r="AW142" s="225">
        <f t="shared" si="48"/>
        <v>27.552083333333336</v>
      </c>
      <c r="AX142" s="290">
        <f t="shared" si="49"/>
        <v>23.476331360946745</v>
      </c>
      <c r="AY142" s="219">
        <f t="shared" si="50"/>
        <v>22.598789604841585</v>
      </c>
      <c r="AZ142" s="225">
        <f t="shared" si="51"/>
        <v>19.538319482917824</v>
      </c>
      <c r="BA142" s="219">
        <f t="shared" si="53"/>
        <v>17.633333333333336</v>
      </c>
      <c r="BB142" s="225">
        <f t="shared" si="54"/>
        <v>14.14123412786812</v>
      </c>
      <c r="BC142" s="271">
        <f t="shared" si="56"/>
        <v>13.333333333333336</v>
      </c>
      <c r="BD142" s="219">
        <f t="shared" si="57"/>
        <v>12.592739535806389</v>
      </c>
      <c r="BE142" s="225">
        <f t="shared" si="59"/>
        <v>9.6753543667123907</v>
      </c>
      <c r="BF142" s="219">
        <f t="shared" si="60"/>
        <v>8.7861591695501744</v>
      </c>
      <c r="BG142" s="276">
        <f t="shared" si="62"/>
        <v>8.3868410622275071</v>
      </c>
      <c r="BH142" s="225">
        <f t="shared" si="64"/>
        <v>7.6657408525540394</v>
      </c>
      <c r="BI142" s="219">
        <f t="shared" si="65"/>
        <v>7.0337950138504173</v>
      </c>
      <c r="BJ142" s="269">
        <f t="shared" si="69"/>
        <v>5.246280991735536</v>
      </c>
      <c r="BK142" s="202">
        <f t="shared" si="70"/>
        <v>4.8000000000000007</v>
      </c>
      <c r="BL142" s="278" t="s">
        <v>3553</v>
      </c>
      <c r="BM142" s="255"/>
      <c r="BN142" s="207"/>
      <c r="BO142" s="206"/>
      <c r="BP142" s="207"/>
      <c r="BQ142" s="206"/>
      <c r="BR142" s="206"/>
      <c r="BS142" s="207"/>
      <c r="BT142" s="206"/>
      <c r="BU142" s="207"/>
      <c r="BV142" s="206"/>
      <c r="BW142" s="207"/>
      <c r="BX142" s="206"/>
      <c r="BY142" s="207"/>
      <c r="BZ142" s="206"/>
      <c r="CA142" s="207"/>
      <c r="CB142" s="206"/>
      <c r="CC142" s="207"/>
      <c r="CD142" s="206"/>
      <c r="CE142" s="207"/>
      <c r="CF142" s="206"/>
      <c r="CG142" s="207"/>
      <c r="CH142" s="206"/>
      <c r="CI142" s="207"/>
      <c r="CJ142" s="206"/>
      <c r="CK142" s="207"/>
      <c r="CL142" s="206"/>
      <c r="CM142" s="254"/>
    </row>
    <row r="143" spans="1:91" ht="10.5" customHeight="1" thickBot="1">
      <c r="A143" s="179" t="str">
        <f t="shared" si="67"/>
        <v/>
      </c>
      <c r="B143" s="201">
        <v>0.47</v>
      </c>
      <c r="C143" s="200"/>
      <c r="D143" s="200"/>
      <c r="E143" s="200"/>
      <c r="F143" s="293"/>
      <c r="G143" s="267"/>
      <c r="H143" s="199"/>
      <c r="I143" s="198"/>
      <c r="J143" s="198"/>
      <c r="K143" s="198"/>
      <c r="L143" s="198"/>
      <c r="M143" s="267"/>
      <c r="N143" s="198"/>
      <c r="O143" s="198"/>
      <c r="P143" s="198"/>
      <c r="Q143" s="198"/>
      <c r="R143" s="198"/>
      <c r="S143" s="197"/>
      <c r="T143" s="194"/>
      <c r="U143" s="197"/>
      <c r="V143" s="194"/>
      <c r="W143" s="195"/>
      <c r="X143" s="195"/>
      <c r="Y143" s="194"/>
      <c r="Z143" s="195"/>
      <c r="AA143" s="195"/>
      <c r="AB143" s="194"/>
      <c r="AC143" s="195"/>
      <c r="AD143" s="195"/>
      <c r="AE143" s="194"/>
      <c r="AF143" s="195"/>
      <c r="AG143" s="195"/>
      <c r="AH143" s="196"/>
      <c r="AI143" s="195"/>
      <c r="AJ143" s="195"/>
      <c r="AK143" s="194"/>
      <c r="AL143" s="195"/>
      <c r="AM143" s="195"/>
      <c r="AN143" s="194"/>
      <c r="AO143" s="195"/>
      <c r="AP143" s="224"/>
      <c r="AQ143" s="223">
        <f t="shared" si="61"/>
        <v>60.853994490358112</v>
      </c>
      <c r="AR143" s="312">
        <f t="shared" si="41"/>
        <v>57.326989619377137</v>
      </c>
      <c r="AS143" s="217">
        <f t="shared" si="63"/>
        <v>54.097959183673481</v>
      </c>
      <c r="AT143" s="223">
        <f t="shared" si="66"/>
        <v>43.570019723865869</v>
      </c>
      <c r="AU143" s="217">
        <f t="shared" si="68"/>
        <v>35.840995132504048</v>
      </c>
      <c r="AV143" s="298">
        <f t="shared" si="46"/>
        <v>34.230371900826441</v>
      </c>
      <c r="AW143" s="223">
        <f t="shared" si="48"/>
        <v>28.763020833333332</v>
      </c>
      <c r="AX143" s="291">
        <f t="shared" si="49"/>
        <v>24.508136094674551</v>
      </c>
      <c r="AY143" s="217">
        <f t="shared" si="50"/>
        <v>23.592025631897467</v>
      </c>
      <c r="AZ143" s="223">
        <f t="shared" si="51"/>
        <v>20.397045244690677</v>
      </c>
      <c r="BA143" s="217">
        <f t="shared" si="53"/>
        <v>18.408333333333331</v>
      </c>
      <c r="BB143" s="223">
        <f t="shared" si="54"/>
        <v>14.762753397193135</v>
      </c>
      <c r="BC143" s="181">
        <f t="shared" si="56"/>
        <v>13.919344675488343</v>
      </c>
      <c r="BD143" s="217">
        <f t="shared" si="57"/>
        <v>13.146201150565364</v>
      </c>
      <c r="BE143" s="223">
        <f t="shared" si="59"/>
        <v>10.100594421582073</v>
      </c>
      <c r="BF143" s="217">
        <f t="shared" si="60"/>
        <v>9.1723183391003484</v>
      </c>
      <c r="BG143" s="279">
        <f t="shared" si="62"/>
        <v>8.7554498612762579</v>
      </c>
      <c r="BH143" s="223">
        <f t="shared" si="64"/>
        <v>8.0026566839753634</v>
      </c>
      <c r="BI143" s="217">
        <f t="shared" si="65"/>
        <v>7.3429362880886426</v>
      </c>
      <c r="BJ143" s="272">
        <f t="shared" si="69"/>
        <v>5.4768595041322294</v>
      </c>
      <c r="BK143" s="191">
        <f t="shared" si="70"/>
        <v>5.0109640831758036</v>
      </c>
      <c r="BL143" s="259"/>
      <c r="BM143" s="259"/>
      <c r="BN143" s="194"/>
      <c r="BO143" s="195"/>
      <c r="BP143" s="194"/>
      <c r="BQ143" s="195"/>
      <c r="BR143" s="195"/>
      <c r="BS143" s="194"/>
      <c r="BT143" s="195"/>
      <c r="BU143" s="194"/>
      <c r="BV143" s="195"/>
      <c r="BW143" s="194"/>
      <c r="BX143" s="195"/>
      <c r="BY143" s="194"/>
      <c r="BZ143" s="195"/>
      <c r="CA143" s="194"/>
      <c r="CB143" s="195"/>
      <c r="CC143" s="194"/>
      <c r="CD143" s="195"/>
      <c r="CE143" s="194"/>
      <c r="CF143" s="195"/>
      <c r="CG143" s="194"/>
      <c r="CH143" s="195"/>
      <c r="CI143" s="194"/>
      <c r="CJ143" s="195"/>
      <c r="CK143" s="194"/>
      <c r="CL143" s="195"/>
      <c r="CM143" s="258"/>
    </row>
    <row r="144" spans="1:91" ht="10.5" customHeight="1" thickBot="1">
      <c r="A144" s="179" t="str">
        <f t="shared" si="67"/>
        <v/>
      </c>
      <c r="B144" s="190">
        <v>0.48</v>
      </c>
      <c r="C144" s="189"/>
      <c r="D144" s="189"/>
      <c r="E144" s="189"/>
      <c r="F144" s="292"/>
      <c r="G144" s="273"/>
      <c r="H144" s="188"/>
      <c r="I144" s="187"/>
      <c r="J144" s="187"/>
      <c r="K144" s="187"/>
      <c r="L144" s="187"/>
      <c r="M144" s="273"/>
      <c r="N144" s="187"/>
      <c r="O144" s="187"/>
      <c r="P144" s="187"/>
      <c r="Q144" s="187"/>
      <c r="R144" s="187"/>
      <c r="S144" s="186"/>
      <c r="T144" s="183"/>
      <c r="U144" s="186"/>
      <c r="V144" s="183"/>
      <c r="W144" s="184"/>
      <c r="X144" s="184"/>
      <c r="Y144" s="183"/>
      <c r="Z144" s="184"/>
      <c r="AA144" s="184"/>
      <c r="AB144" s="183"/>
      <c r="AC144" s="184"/>
      <c r="AD144" s="184"/>
      <c r="AE144" s="183"/>
      <c r="AF144" s="184"/>
      <c r="AG144" s="184"/>
      <c r="AH144" s="185"/>
      <c r="AI144" s="184"/>
      <c r="AJ144" s="184"/>
      <c r="AK144" s="183"/>
      <c r="AL144" s="184"/>
      <c r="AM144" s="184"/>
      <c r="AN144" s="183"/>
      <c r="AO144" s="184"/>
      <c r="AP144" s="182"/>
      <c r="AQ144" s="221">
        <f t="shared" si="61"/>
        <v>63.471074380165277</v>
      </c>
      <c r="AR144" s="310">
        <f t="shared" si="41"/>
        <v>59.792387543252588</v>
      </c>
      <c r="AS144" s="214">
        <f t="shared" si="63"/>
        <v>56.424489795918369</v>
      </c>
      <c r="AT144" s="221">
        <f t="shared" si="66"/>
        <v>45.443786982248504</v>
      </c>
      <c r="AU144" s="214">
        <f t="shared" si="68"/>
        <v>37.382368848025962</v>
      </c>
      <c r="AV144" s="301">
        <f t="shared" si="46"/>
        <v>35.70247933884297</v>
      </c>
      <c r="AW144" s="235">
        <v>30</v>
      </c>
      <c r="AX144" s="290">
        <f t="shared" si="49"/>
        <v>25.562130177514788</v>
      </c>
      <c r="AY144" s="214">
        <f t="shared" si="50"/>
        <v>24.606621573513699</v>
      </c>
      <c r="AZ144" s="221">
        <f t="shared" si="51"/>
        <v>21.274238227146817</v>
      </c>
      <c r="BA144" s="214">
        <f t="shared" si="53"/>
        <v>19.200000000000003</v>
      </c>
      <c r="BB144" s="221">
        <f t="shared" si="54"/>
        <v>15.397638672310091</v>
      </c>
      <c r="BC144" s="271">
        <f t="shared" si="56"/>
        <v>14.517958412098297</v>
      </c>
      <c r="BD144" s="214">
        <f t="shared" si="57"/>
        <v>13.711565165641737</v>
      </c>
      <c r="BE144" s="221">
        <f t="shared" si="59"/>
        <v>10.534979423868313</v>
      </c>
      <c r="BF144" s="214">
        <f t="shared" si="60"/>
        <v>9.5667820069204144</v>
      </c>
      <c r="BG144" s="276">
        <f t="shared" si="62"/>
        <v>9.1319857312722945</v>
      </c>
      <c r="BH144" s="221">
        <f t="shared" si="64"/>
        <v>8.3468180171476867</v>
      </c>
      <c r="BI144" s="214">
        <f t="shared" si="65"/>
        <v>7.6587257617728541</v>
      </c>
      <c r="BJ144" s="269">
        <f t="shared" si="69"/>
        <v>5.7123966942148741</v>
      </c>
      <c r="BK144" s="180">
        <f t="shared" si="70"/>
        <v>5.2264650283553884</v>
      </c>
      <c r="BL144" s="257"/>
      <c r="BM144" s="257"/>
      <c r="BN144" s="183"/>
      <c r="BO144" s="184"/>
      <c r="BP144" s="183"/>
      <c r="BQ144" s="184"/>
      <c r="BR144" s="184"/>
      <c r="BS144" s="183"/>
      <c r="BT144" s="184"/>
      <c r="BU144" s="183"/>
      <c r="BV144" s="184"/>
      <c r="BW144" s="183"/>
      <c r="BX144" s="184"/>
      <c r="BY144" s="183"/>
      <c r="BZ144" s="184"/>
      <c r="CA144" s="183"/>
      <c r="CB144" s="184"/>
      <c r="CC144" s="183"/>
      <c r="CD144" s="184"/>
      <c r="CE144" s="183"/>
      <c r="CF144" s="184"/>
      <c r="CG144" s="183"/>
      <c r="CH144" s="184"/>
      <c r="CI144" s="183"/>
      <c r="CJ144" s="184"/>
      <c r="CK144" s="183"/>
      <c r="CL144" s="184"/>
      <c r="CM144" s="256"/>
    </row>
    <row r="145" spans="1:91" ht="10.5" customHeight="1" thickBot="1">
      <c r="A145" s="179" t="str">
        <f t="shared" si="67"/>
        <v/>
      </c>
      <c r="B145" s="190">
        <v>0.49</v>
      </c>
      <c r="C145" s="189"/>
      <c r="D145" s="189"/>
      <c r="E145" s="189"/>
      <c r="F145" s="292"/>
      <c r="G145" s="273"/>
      <c r="H145" s="188"/>
      <c r="I145" s="187"/>
      <c r="J145" s="187"/>
      <c r="K145" s="187"/>
      <c r="L145" s="187"/>
      <c r="M145" s="273"/>
      <c r="N145" s="187"/>
      <c r="O145" s="187"/>
      <c r="P145" s="187"/>
      <c r="Q145" s="187"/>
      <c r="R145" s="187"/>
      <c r="S145" s="186"/>
      <c r="T145" s="183"/>
      <c r="U145" s="186"/>
      <c r="V145" s="183"/>
      <c r="W145" s="184"/>
      <c r="X145" s="184"/>
      <c r="Y145" s="183"/>
      <c r="Z145" s="184"/>
      <c r="AA145" s="184"/>
      <c r="AB145" s="183"/>
      <c r="AC145" s="184"/>
      <c r="AD145" s="184"/>
      <c r="AE145" s="183"/>
      <c r="AF145" s="184"/>
      <c r="AG145" s="184"/>
      <c r="AH145" s="185"/>
      <c r="AI145" s="184"/>
      <c r="AJ145" s="184"/>
      <c r="AK145" s="183"/>
      <c r="AL145" s="184"/>
      <c r="AM145" s="184"/>
      <c r="AN145" s="183"/>
      <c r="AO145" s="184"/>
      <c r="AP145" s="182"/>
      <c r="AQ145" s="221">
        <f t="shared" si="61"/>
        <v>66.143250688705237</v>
      </c>
      <c r="AR145" s="312">
        <f t="shared" si="41"/>
        <v>62.309688581314852</v>
      </c>
      <c r="AS145" s="214">
        <f t="shared" si="63"/>
        <v>58.800000000000011</v>
      </c>
      <c r="AT145" s="221">
        <f t="shared" si="66"/>
        <v>47.357001972386584</v>
      </c>
      <c r="AU145" s="214">
        <f t="shared" si="68"/>
        <v>38.956192536506222</v>
      </c>
      <c r="AV145" s="298">
        <f t="shared" si="46"/>
        <v>37.205578512396684</v>
      </c>
      <c r="AW145" s="221">
        <f t="shared" ref="AW145:AW170" si="71" xml:space="preserve"> 30*(B145/B$144)^2</f>
        <v>31.263020833333325</v>
      </c>
      <c r="AX145" s="291">
        <f t="shared" si="49"/>
        <v>26.638313609467456</v>
      </c>
      <c r="AY145" s="214">
        <f t="shared" si="50"/>
        <v>25.642577429690277</v>
      </c>
      <c r="AZ145" s="221">
        <f t="shared" si="51"/>
        <v>22.169898430286242</v>
      </c>
      <c r="BA145" s="214">
        <f t="shared" si="53"/>
        <v>20.008333333333333</v>
      </c>
      <c r="BB145" s="221">
        <f t="shared" si="54"/>
        <v>16.045889953218975</v>
      </c>
      <c r="BC145" s="181">
        <f t="shared" si="56"/>
        <v>15.129174543163202</v>
      </c>
      <c r="BD145" s="214">
        <f t="shared" si="57"/>
        <v>14.288831581035508</v>
      </c>
      <c r="BE145" s="221">
        <f t="shared" si="59"/>
        <v>10.9785093735711</v>
      </c>
      <c r="BF145" s="214">
        <f t="shared" si="60"/>
        <v>9.9695501730103793</v>
      </c>
      <c r="BG145" s="279">
        <f t="shared" si="62"/>
        <v>9.5164486722156152</v>
      </c>
      <c r="BH145" s="221">
        <f t="shared" si="64"/>
        <v>8.6982248520710055</v>
      </c>
      <c r="BI145" s="214">
        <f t="shared" si="65"/>
        <v>7.9811634349030482</v>
      </c>
      <c r="BJ145" s="272">
        <f t="shared" si="69"/>
        <v>5.9528925619834707</v>
      </c>
      <c r="BK145" s="221">
        <f t="shared" si="70"/>
        <v>5.4465028355387535</v>
      </c>
      <c r="BL145" s="271">
        <f t="shared" ref="BL145:BL176" si="72" xml:space="preserve"> 30*(B145/B$201)^2</f>
        <v>4.6099200000000007</v>
      </c>
      <c r="BM145" s="311"/>
      <c r="BN145" s="285"/>
      <c r="BO145" s="184"/>
      <c r="BP145" s="183"/>
      <c r="BQ145" s="184"/>
      <c r="BR145" s="184"/>
      <c r="BS145" s="183"/>
      <c r="BT145" s="184"/>
      <c r="BU145" s="183"/>
      <c r="BV145" s="184"/>
      <c r="BW145" s="183"/>
      <c r="BX145" s="184"/>
      <c r="BY145" s="183"/>
      <c r="BZ145" s="184"/>
      <c r="CA145" s="183"/>
      <c r="CB145" s="184"/>
      <c r="CC145" s="183"/>
      <c r="CD145" s="184"/>
      <c r="CE145" s="183"/>
      <c r="CF145" s="184"/>
      <c r="CG145" s="183"/>
      <c r="CH145" s="184"/>
      <c r="CI145" s="183"/>
      <c r="CJ145" s="184"/>
      <c r="CK145" s="183"/>
      <c r="CL145" s="184"/>
      <c r="CM145" s="256"/>
    </row>
    <row r="146" spans="1:91" ht="10.5" customHeight="1">
      <c r="A146" s="179" t="str">
        <f t="shared" si="67"/>
        <v/>
      </c>
      <c r="B146" s="213">
        <v>0.5</v>
      </c>
      <c r="C146" s="212"/>
      <c r="D146" s="212"/>
      <c r="E146" s="212"/>
      <c r="F146" s="294"/>
      <c r="G146" s="270"/>
      <c r="H146" s="211"/>
      <c r="I146" s="210"/>
      <c r="J146" s="210"/>
      <c r="K146" s="210"/>
      <c r="L146" s="210"/>
      <c r="M146" s="270"/>
      <c r="N146" s="210"/>
      <c r="O146" s="210"/>
      <c r="P146" s="210"/>
      <c r="Q146" s="210"/>
      <c r="R146" s="210"/>
      <c r="S146" s="209"/>
      <c r="T146" s="207"/>
      <c r="U146" s="209"/>
      <c r="V146" s="207"/>
      <c r="W146" s="206"/>
      <c r="X146" s="206"/>
      <c r="Y146" s="207"/>
      <c r="Z146" s="206"/>
      <c r="AA146" s="206"/>
      <c r="AB146" s="207"/>
      <c r="AC146" s="206"/>
      <c r="AD146" s="206"/>
      <c r="AE146" s="207"/>
      <c r="AF146" s="206"/>
      <c r="AG146" s="206"/>
      <c r="AH146" s="208"/>
      <c r="AI146" s="206"/>
      <c r="AJ146" s="206"/>
      <c r="AK146" s="207"/>
      <c r="AL146" s="206"/>
      <c r="AM146" s="206"/>
      <c r="AN146" s="207"/>
      <c r="AO146" s="206"/>
      <c r="AP146" s="226"/>
      <c r="AQ146" s="225">
        <f t="shared" si="61"/>
        <v>68.870523415977956</v>
      </c>
      <c r="AR146" s="310">
        <f t="shared" si="41"/>
        <v>64.878892733564001</v>
      </c>
      <c r="AS146" s="219">
        <f t="shared" si="63"/>
        <v>61.224489795918366</v>
      </c>
      <c r="AT146" s="225">
        <f t="shared" si="66"/>
        <v>49.309664694280066</v>
      </c>
      <c r="AU146" s="219">
        <f t="shared" si="68"/>
        <v>40.562466197944836</v>
      </c>
      <c r="AV146" s="301">
        <f t="shared" ref="AV146:AV162" si="73" xml:space="preserve"> 30*(B146/B$140)^2</f>
        <v>38.739669421487612</v>
      </c>
      <c r="AW146" s="225">
        <f t="shared" si="71"/>
        <v>32.552083333333343</v>
      </c>
      <c r="AX146" s="290">
        <f t="shared" si="49"/>
        <v>27.736686390532537</v>
      </c>
      <c r="AY146" s="219">
        <f t="shared" si="50"/>
        <v>26.699893200427191</v>
      </c>
      <c r="AZ146" s="225">
        <f t="shared" si="51"/>
        <v>23.084025854108958</v>
      </c>
      <c r="BA146" s="219">
        <f t="shared" si="53"/>
        <v>20.833333333333336</v>
      </c>
      <c r="BB146" s="225">
        <f t="shared" si="54"/>
        <v>16.707507239919803</v>
      </c>
      <c r="BC146" s="271">
        <f t="shared" si="56"/>
        <v>15.752993068683054</v>
      </c>
      <c r="BD146" s="219">
        <f t="shared" si="57"/>
        <v>14.87800039674668</v>
      </c>
      <c r="BE146" s="225">
        <f t="shared" si="59"/>
        <v>11.431184270690441</v>
      </c>
      <c r="BF146" s="219">
        <f t="shared" si="60"/>
        <v>10.380622837370243</v>
      </c>
      <c r="BG146" s="276">
        <f t="shared" si="62"/>
        <v>9.9088386841062217</v>
      </c>
      <c r="BH146" s="225">
        <f t="shared" si="64"/>
        <v>9.0568771887453199</v>
      </c>
      <c r="BI146" s="219">
        <f t="shared" si="65"/>
        <v>8.3102493074792232</v>
      </c>
      <c r="BJ146" s="269">
        <f t="shared" si="69"/>
        <v>6.1983471074380159</v>
      </c>
      <c r="BK146" s="225">
        <f t="shared" si="70"/>
        <v>5.6710775047258988</v>
      </c>
      <c r="BL146" s="203">
        <f t="shared" si="72"/>
        <v>4.8000000000000007</v>
      </c>
      <c r="BM146" s="313"/>
      <c r="BN146" s="286"/>
      <c r="BO146" s="206"/>
      <c r="BP146" s="207"/>
      <c r="BQ146" s="206"/>
      <c r="BR146" s="206"/>
      <c r="BS146" s="207"/>
      <c r="BT146" s="206"/>
      <c r="BU146" s="207"/>
      <c r="BV146" s="206"/>
      <c r="BW146" s="207"/>
      <c r="BX146" s="206"/>
      <c r="BY146" s="207"/>
      <c r="BZ146" s="206"/>
      <c r="CA146" s="207"/>
      <c r="CB146" s="206"/>
      <c r="CC146" s="207"/>
      <c r="CD146" s="206"/>
      <c r="CE146" s="207"/>
      <c r="CF146" s="206"/>
      <c r="CG146" s="207"/>
      <c r="CH146" s="206"/>
      <c r="CI146" s="207"/>
      <c r="CJ146" s="206"/>
      <c r="CK146" s="207"/>
      <c r="CL146" s="206"/>
      <c r="CM146" s="254"/>
    </row>
    <row r="147" spans="1:91" ht="10.5" customHeight="1" thickBot="1">
      <c r="A147" s="179" t="str">
        <f t="shared" si="67"/>
        <v/>
      </c>
      <c r="B147" s="201">
        <v>0.51</v>
      </c>
      <c r="C147" s="200"/>
      <c r="D147" s="200"/>
      <c r="E147" s="200"/>
      <c r="F147" s="293"/>
      <c r="G147" s="267"/>
      <c r="H147" s="199"/>
      <c r="I147" s="198"/>
      <c r="J147" s="198"/>
      <c r="K147" s="198"/>
      <c r="L147" s="198"/>
      <c r="M147" s="267"/>
      <c r="N147" s="198"/>
      <c r="O147" s="198"/>
      <c r="P147" s="198"/>
      <c r="Q147" s="198"/>
      <c r="R147" s="198"/>
      <c r="S147" s="197"/>
      <c r="T147" s="194"/>
      <c r="U147" s="197"/>
      <c r="V147" s="194"/>
      <c r="W147" s="195"/>
      <c r="X147" s="195"/>
      <c r="Y147" s="194"/>
      <c r="Z147" s="195"/>
      <c r="AA147" s="195"/>
      <c r="AB147" s="194"/>
      <c r="AC147" s="195"/>
      <c r="AD147" s="195"/>
      <c r="AE147" s="194"/>
      <c r="AF147" s="195"/>
      <c r="AG147" s="195"/>
      <c r="AH147" s="196"/>
      <c r="AI147" s="195"/>
      <c r="AJ147" s="195"/>
      <c r="AK147" s="194"/>
      <c r="AL147" s="195"/>
      <c r="AM147" s="195"/>
      <c r="AN147" s="194"/>
      <c r="AO147" s="195"/>
      <c r="AP147" s="224"/>
      <c r="AQ147" s="220">
        <f t="shared" si="61"/>
        <v>71.652892561983464</v>
      </c>
      <c r="AR147" s="312">
        <f t="shared" si="41"/>
        <v>67.5</v>
      </c>
      <c r="AS147" s="217">
        <f t="shared" si="63"/>
        <v>63.69795918367349</v>
      </c>
      <c r="AT147" s="223">
        <f t="shared" si="66"/>
        <v>51.301775147928993</v>
      </c>
      <c r="AU147" s="217">
        <f t="shared" si="68"/>
        <v>42.201189832341811</v>
      </c>
      <c r="AV147" s="298">
        <f t="shared" si="73"/>
        <v>40.304752066115711</v>
      </c>
      <c r="AW147" s="223">
        <f t="shared" si="71"/>
        <v>33.8671875</v>
      </c>
      <c r="AX147" s="291">
        <f t="shared" si="49"/>
        <v>28.857248520710058</v>
      </c>
      <c r="AY147" s="217">
        <f t="shared" si="50"/>
        <v>27.778568885724457</v>
      </c>
      <c r="AZ147" s="223">
        <f t="shared" si="51"/>
        <v>24.016620498614966</v>
      </c>
      <c r="BA147" s="217">
        <f t="shared" si="53"/>
        <v>21.675000000000004</v>
      </c>
      <c r="BB147" s="223">
        <f t="shared" si="54"/>
        <v>17.382490532412564</v>
      </c>
      <c r="BC147" s="181">
        <f t="shared" si="56"/>
        <v>16.38941398865785</v>
      </c>
      <c r="BD147" s="217">
        <f t="shared" si="57"/>
        <v>15.479071612775243</v>
      </c>
      <c r="BE147" s="223">
        <f t="shared" si="59"/>
        <v>11.893004115226338</v>
      </c>
      <c r="BF147" s="217">
        <f t="shared" si="60"/>
        <v>10.799999999999999</v>
      </c>
      <c r="BG147" s="279">
        <f t="shared" si="62"/>
        <v>10.309155766944118</v>
      </c>
      <c r="BH147" s="223">
        <f t="shared" si="64"/>
        <v>9.4227750271706316</v>
      </c>
      <c r="BI147" s="217">
        <f t="shared" si="65"/>
        <v>8.6459833795013843</v>
      </c>
      <c r="BJ147" s="272">
        <f t="shared" si="69"/>
        <v>6.4487603305785122</v>
      </c>
      <c r="BK147" s="223">
        <f t="shared" si="70"/>
        <v>5.9001890359168252</v>
      </c>
      <c r="BL147" s="192">
        <f t="shared" si="72"/>
        <v>4.993920000000001</v>
      </c>
      <c r="BM147" s="311"/>
      <c r="BN147" s="263"/>
      <c r="BO147" s="195"/>
      <c r="BP147" s="194"/>
      <c r="BQ147" s="195"/>
      <c r="BR147" s="195"/>
      <c r="BS147" s="194"/>
      <c r="BT147" s="195"/>
      <c r="BU147" s="194"/>
      <c r="BV147" s="195"/>
      <c r="BW147" s="194"/>
      <c r="BX147" s="195"/>
      <c r="BY147" s="194"/>
      <c r="BZ147" s="195"/>
      <c r="CA147" s="194"/>
      <c r="CB147" s="195"/>
      <c r="CC147" s="194"/>
      <c r="CD147" s="195"/>
      <c r="CE147" s="194"/>
      <c r="CF147" s="195"/>
      <c r="CG147" s="194"/>
      <c r="CH147" s="195"/>
      <c r="CI147" s="194"/>
      <c r="CJ147" s="195"/>
      <c r="CK147" s="194"/>
      <c r="CL147" s="195"/>
      <c r="CM147" s="258"/>
    </row>
    <row r="148" spans="1:91" ht="10.5" customHeight="1" thickBot="1">
      <c r="A148" s="179" t="str">
        <f t="shared" si="67"/>
        <v/>
      </c>
      <c r="B148" s="190">
        <v>0.52</v>
      </c>
      <c r="C148" s="189"/>
      <c r="D148" s="189"/>
      <c r="E148" s="189"/>
      <c r="F148" s="292"/>
      <c r="G148" s="273"/>
      <c r="H148" s="188"/>
      <c r="I148" s="187"/>
      <c r="J148" s="187"/>
      <c r="K148" s="187"/>
      <c r="L148" s="187"/>
      <c r="M148" s="273"/>
      <c r="N148" s="187"/>
      <c r="O148" s="187"/>
      <c r="P148" s="187"/>
      <c r="Q148" s="187"/>
      <c r="R148" s="187"/>
      <c r="S148" s="186"/>
      <c r="T148" s="183"/>
      <c r="U148" s="186"/>
      <c r="V148" s="183"/>
      <c r="W148" s="184"/>
      <c r="X148" s="184"/>
      <c r="Y148" s="183"/>
      <c r="Z148" s="184"/>
      <c r="AA148" s="184"/>
      <c r="AB148" s="183"/>
      <c r="AC148" s="184"/>
      <c r="AD148" s="184"/>
      <c r="AE148" s="183"/>
      <c r="AF148" s="184"/>
      <c r="AG148" s="184"/>
      <c r="AH148" s="185"/>
      <c r="AI148" s="184"/>
      <c r="AJ148" s="184"/>
      <c r="AK148" s="183"/>
      <c r="AL148" s="184"/>
      <c r="AM148" s="184"/>
      <c r="AN148" s="183"/>
      <c r="AO148" s="184"/>
      <c r="AP148" s="184"/>
      <c r="AQ148" s="215"/>
      <c r="AR148" s="310">
        <f t="shared" si="41"/>
        <v>70.173010380622827</v>
      </c>
      <c r="AS148" s="214">
        <f t="shared" si="63"/>
        <v>66.220408163265319</v>
      </c>
      <c r="AT148" s="221">
        <f t="shared" si="66"/>
        <v>53.333333333333329</v>
      </c>
      <c r="AU148" s="214">
        <f t="shared" si="68"/>
        <v>43.872363439697139</v>
      </c>
      <c r="AV148" s="301">
        <f t="shared" si="73"/>
        <v>41.900826446281002</v>
      </c>
      <c r="AW148" s="221">
        <f t="shared" si="71"/>
        <v>35.208333333333343</v>
      </c>
      <c r="AX148" s="290">
        <f t="shared" ref="AX148:AX175" si="74" xml:space="preserve"> 30*(B148/B$148)^2</f>
        <v>30</v>
      </c>
      <c r="AY148" s="214">
        <f t="shared" si="50"/>
        <v>28.878604485582056</v>
      </c>
      <c r="AZ148" s="221">
        <f t="shared" si="51"/>
        <v>24.967682363804251</v>
      </c>
      <c r="BA148" s="214">
        <f t="shared" si="53"/>
        <v>22.533333333333335</v>
      </c>
      <c r="BB148" s="221">
        <f t="shared" si="54"/>
        <v>18.07083983069726</v>
      </c>
      <c r="BC148" s="271">
        <f t="shared" si="56"/>
        <v>17.038437303087594</v>
      </c>
      <c r="BD148" s="214">
        <f t="shared" si="57"/>
        <v>16.092045229121208</v>
      </c>
      <c r="BE148" s="221">
        <f t="shared" si="59"/>
        <v>12.363968907178783</v>
      </c>
      <c r="BF148" s="214">
        <f t="shared" si="60"/>
        <v>11.227681660899655</v>
      </c>
      <c r="BG148" s="276">
        <f t="shared" si="62"/>
        <v>10.717399920729292</v>
      </c>
      <c r="BH148" s="221">
        <f t="shared" si="64"/>
        <v>9.7959183673469372</v>
      </c>
      <c r="BI148" s="214">
        <f t="shared" si="65"/>
        <v>8.9883656509695307</v>
      </c>
      <c r="BJ148" s="269">
        <f t="shared" si="69"/>
        <v>6.7041322314049587</v>
      </c>
      <c r="BK148" s="221">
        <f t="shared" si="70"/>
        <v>6.1338374291115327</v>
      </c>
      <c r="BL148" s="181">
        <f t="shared" si="72"/>
        <v>5.1916800000000016</v>
      </c>
      <c r="BM148" s="309">
        <f t="shared" ref="BM148:BM179" si="75" xml:space="preserve"> 30*(B148/B$202)^2</f>
        <v>4.8000000000000007</v>
      </c>
      <c r="BN148" s="261"/>
      <c r="BO148" s="231"/>
      <c r="BP148" s="183"/>
      <c r="BQ148" s="184"/>
      <c r="BR148" s="184"/>
      <c r="BS148" s="183"/>
      <c r="BT148" s="184"/>
      <c r="BU148" s="183"/>
      <c r="BV148" s="184"/>
      <c r="BW148" s="183"/>
      <c r="BX148" s="184"/>
      <c r="BY148" s="183"/>
      <c r="BZ148" s="184"/>
      <c r="CA148" s="183"/>
      <c r="CB148" s="184"/>
      <c r="CC148" s="183"/>
      <c r="CD148" s="184"/>
      <c r="CE148" s="183"/>
      <c r="CF148" s="184"/>
      <c r="CG148" s="183"/>
      <c r="CH148" s="184"/>
      <c r="CI148" s="183"/>
      <c r="CJ148" s="184"/>
      <c r="CK148" s="183"/>
      <c r="CL148" s="184"/>
      <c r="CM148" s="256"/>
    </row>
    <row r="149" spans="1:91" ht="10.5" customHeight="1" thickBot="1">
      <c r="A149" s="179" t="str">
        <f t="shared" si="67"/>
        <v/>
      </c>
      <c r="B149" s="190">
        <v>0.53</v>
      </c>
      <c r="C149" s="189"/>
      <c r="D149" s="189"/>
      <c r="E149" s="189"/>
      <c r="F149" s="292"/>
      <c r="G149" s="273"/>
      <c r="H149" s="188"/>
      <c r="I149" s="187"/>
      <c r="J149" s="187"/>
      <c r="K149" s="187"/>
      <c r="L149" s="187"/>
      <c r="M149" s="273"/>
      <c r="N149" s="187"/>
      <c r="O149" s="187"/>
      <c r="P149" s="187"/>
      <c r="Q149" s="187"/>
      <c r="R149" s="187"/>
      <c r="S149" s="186"/>
      <c r="T149" s="183"/>
      <c r="U149" s="186"/>
      <c r="V149" s="183"/>
      <c r="W149" s="184"/>
      <c r="X149" s="184"/>
      <c r="Y149" s="183"/>
      <c r="Z149" s="184"/>
      <c r="AA149" s="184"/>
      <c r="AB149" s="183"/>
      <c r="AC149" s="184"/>
      <c r="AD149" s="184"/>
      <c r="AE149" s="183"/>
      <c r="AF149" s="184"/>
      <c r="AG149" s="184"/>
      <c r="AH149" s="185"/>
      <c r="AI149" s="184"/>
      <c r="AJ149" s="184"/>
      <c r="AK149" s="183"/>
      <c r="AL149" s="184"/>
      <c r="AM149" s="184"/>
      <c r="AN149" s="183"/>
      <c r="AO149" s="184"/>
      <c r="AP149" s="184"/>
      <c r="AQ149" s="215"/>
      <c r="AR149" s="308"/>
      <c r="AS149" s="214">
        <f t="shared" si="63"/>
        <v>68.791836734693888</v>
      </c>
      <c r="AT149" s="221">
        <f t="shared" si="66"/>
        <v>55.404339250493102</v>
      </c>
      <c r="AU149" s="214">
        <f t="shared" si="68"/>
        <v>45.575987020010835</v>
      </c>
      <c r="AV149" s="298">
        <f t="shared" si="73"/>
        <v>43.527892561983471</v>
      </c>
      <c r="AW149" s="221">
        <f t="shared" si="71"/>
        <v>36.575520833333336</v>
      </c>
      <c r="AX149" s="291">
        <f t="shared" si="74"/>
        <v>31.164940828402365</v>
      </c>
      <c r="AY149" s="237">
        <v>30</v>
      </c>
      <c r="AZ149" s="221">
        <f t="shared" si="51"/>
        <v>25.93721144967683</v>
      </c>
      <c r="BA149" s="214">
        <f t="shared" si="53"/>
        <v>23.408333333333339</v>
      </c>
      <c r="BB149" s="221">
        <f t="shared" si="54"/>
        <v>18.772555134773892</v>
      </c>
      <c r="BC149" s="181">
        <f t="shared" si="56"/>
        <v>17.700063011972279</v>
      </c>
      <c r="BD149" s="214">
        <f t="shared" si="57"/>
        <v>16.716921245784572</v>
      </c>
      <c r="BE149" s="221">
        <f t="shared" si="59"/>
        <v>12.844078646547784</v>
      </c>
      <c r="BF149" s="214">
        <f t="shared" si="60"/>
        <v>11.663667820069204</v>
      </c>
      <c r="BG149" s="279">
        <f t="shared" si="62"/>
        <v>11.133571145461753</v>
      </c>
      <c r="BH149" s="221">
        <f t="shared" si="64"/>
        <v>10.176307209274244</v>
      </c>
      <c r="BI149" s="214">
        <f t="shared" si="65"/>
        <v>9.3373961218836588</v>
      </c>
      <c r="BJ149" s="272">
        <f t="shared" si="69"/>
        <v>6.9644628099173556</v>
      </c>
      <c r="BK149" s="221">
        <f t="shared" si="70"/>
        <v>6.3720226843100205</v>
      </c>
      <c r="BL149" s="214">
        <f t="shared" si="72"/>
        <v>5.3932800000000016</v>
      </c>
      <c r="BM149" s="307">
        <f t="shared" si="75"/>
        <v>4.9863905325443785</v>
      </c>
      <c r="BN149" s="306">
        <f t="shared" ref="BN149:BN180" si="76" xml:space="preserve"> 30*(B149/B$203)^2</f>
        <v>4.6238683127572013</v>
      </c>
      <c r="BO149" s="257"/>
      <c r="BP149" s="183"/>
      <c r="BQ149" s="184"/>
      <c r="BR149" s="184"/>
      <c r="BS149" s="183"/>
      <c r="BT149" s="184"/>
      <c r="BU149" s="183"/>
      <c r="BV149" s="184"/>
      <c r="BW149" s="183"/>
      <c r="BX149" s="184"/>
      <c r="BY149" s="183"/>
      <c r="BZ149" s="184"/>
      <c r="CA149" s="183"/>
      <c r="CB149" s="184"/>
      <c r="CC149" s="183"/>
      <c r="CD149" s="184"/>
      <c r="CE149" s="183"/>
      <c r="CF149" s="184"/>
      <c r="CG149" s="183"/>
      <c r="CH149" s="184"/>
      <c r="CI149" s="183"/>
      <c r="CJ149" s="184"/>
      <c r="CK149" s="183"/>
      <c r="CL149" s="184"/>
      <c r="CM149" s="256"/>
    </row>
    <row r="150" spans="1:91" ht="10.5" customHeight="1" thickBot="1">
      <c r="A150" s="179" t="str">
        <f t="shared" si="67"/>
        <v/>
      </c>
      <c r="B150" s="213">
        <v>0.54</v>
      </c>
      <c r="C150" s="212"/>
      <c r="D150" s="212"/>
      <c r="E150" s="212"/>
      <c r="F150" s="294"/>
      <c r="G150" s="270"/>
      <c r="H150" s="211"/>
      <c r="I150" s="210"/>
      <c r="J150" s="210"/>
      <c r="K150" s="210"/>
      <c r="L150" s="210"/>
      <c r="M150" s="270"/>
      <c r="N150" s="210"/>
      <c r="O150" s="210"/>
      <c r="P150" s="210"/>
      <c r="Q150" s="210"/>
      <c r="R150" s="210"/>
      <c r="S150" s="209"/>
      <c r="T150" s="207"/>
      <c r="U150" s="209"/>
      <c r="V150" s="207"/>
      <c r="W150" s="206"/>
      <c r="X150" s="206"/>
      <c r="Y150" s="207"/>
      <c r="Z150" s="206"/>
      <c r="AA150" s="206"/>
      <c r="AB150" s="207"/>
      <c r="AC150" s="206"/>
      <c r="AD150" s="206"/>
      <c r="AE150" s="207"/>
      <c r="AF150" s="206"/>
      <c r="AG150" s="206"/>
      <c r="AH150" s="208"/>
      <c r="AI150" s="206"/>
      <c r="AJ150" s="206"/>
      <c r="AK150" s="207"/>
      <c r="AL150" s="206"/>
      <c r="AM150" s="206"/>
      <c r="AN150" s="207"/>
      <c r="AO150" s="206"/>
      <c r="AP150" s="206"/>
      <c r="AQ150" s="205"/>
      <c r="AR150" s="305"/>
      <c r="AS150" s="204">
        <f t="shared" si="63"/>
        <v>71.412244897959212</v>
      </c>
      <c r="AT150" s="225">
        <f t="shared" si="66"/>
        <v>57.514792899408278</v>
      </c>
      <c r="AU150" s="219">
        <f t="shared" si="68"/>
        <v>47.312060573282857</v>
      </c>
      <c r="AV150" s="301">
        <f t="shared" si="73"/>
        <v>45.185950413223139</v>
      </c>
      <c r="AW150" s="225">
        <f t="shared" si="71"/>
        <v>37.968750000000014</v>
      </c>
      <c r="AX150" s="290">
        <f t="shared" si="74"/>
        <v>32.352071005917168</v>
      </c>
      <c r="AY150" s="219">
        <f t="shared" ref="AY150:AY177" si="77" xml:space="preserve"> 30*(B150/B$149)^2</f>
        <v>31.142755428978287</v>
      </c>
      <c r="AZ150" s="225">
        <f t="shared" si="51"/>
        <v>26.925207756232695</v>
      </c>
      <c r="BA150" s="219">
        <f t="shared" si="53"/>
        <v>24.300000000000008</v>
      </c>
      <c r="BB150" s="225">
        <f t="shared" si="54"/>
        <v>19.487636444642462</v>
      </c>
      <c r="BC150" s="271">
        <f t="shared" si="56"/>
        <v>18.374291115311916</v>
      </c>
      <c r="BD150" s="219">
        <f t="shared" si="57"/>
        <v>17.353699662765329</v>
      </c>
      <c r="BE150" s="225">
        <f t="shared" si="59"/>
        <v>13.333333333333332</v>
      </c>
      <c r="BF150" s="219">
        <f t="shared" si="60"/>
        <v>12.107958477508653</v>
      </c>
      <c r="BG150" s="276">
        <f t="shared" si="62"/>
        <v>11.557669441141499</v>
      </c>
      <c r="BH150" s="225">
        <f t="shared" si="64"/>
        <v>10.563941552952542</v>
      </c>
      <c r="BI150" s="219">
        <f t="shared" si="65"/>
        <v>9.6930747922437721</v>
      </c>
      <c r="BJ150" s="269">
        <f t="shared" si="69"/>
        <v>7.2297520661157026</v>
      </c>
      <c r="BK150" s="225">
        <f t="shared" si="70"/>
        <v>6.6147448015122894</v>
      </c>
      <c r="BL150" s="219">
        <f t="shared" si="72"/>
        <v>5.598720000000001</v>
      </c>
      <c r="BM150" s="262">
        <f t="shared" si="75"/>
        <v>5.1763313609467456</v>
      </c>
      <c r="BN150" s="202">
        <f t="shared" si="76"/>
        <v>4.8000000000000007</v>
      </c>
      <c r="BO150" s="255"/>
      <c r="BP150" s="207"/>
      <c r="BQ150" s="206"/>
      <c r="BR150" s="206"/>
      <c r="BS150" s="207"/>
      <c r="BT150" s="206"/>
      <c r="BU150" s="207"/>
      <c r="BV150" s="206"/>
      <c r="BW150" s="207"/>
      <c r="BX150" s="206"/>
      <c r="BY150" s="207"/>
      <c r="BZ150" s="206"/>
      <c r="CA150" s="207"/>
      <c r="CB150" s="206"/>
      <c r="CC150" s="207"/>
      <c r="CD150" s="206"/>
      <c r="CE150" s="207"/>
      <c r="CF150" s="206"/>
      <c r="CG150" s="207"/>
      <c r="CH150" s="206"/>
      <c r="CI150" s="207"/>
      <c r="CJ150" s="206"/>
      <c r="CK150" s="207"/>
      <c r="CL150" s="206"/>
      <c r="CM150" s="254"/>
    </row>
    <row r="151" spans="1:91" ht="10.5" customHeight="1" thickBot="1">
      <c r="A151" s="179" t="str">
        <f t="shared" si="67"/>
        <v/>
      </c>
      <c r="B151" s="201">
        <v>0.55000000000000004</v>
      </c>
      <c r="C151" s="200"/>
      <c r="D151" s="200"/>
      <c r="E151" s="200"/>
      <c r="F151" s="293"/>
      <c r="G151" s="267"/>
      <c r="H151" s="199"/>
      <c r="I151" s="198"/>
      <c r="J151" s="198"/>
      <c r="K151" s="198"/>
      <c r="L151" s="198"/>
      <c r="M151" s="267"/>
      <c r="N151" s="198"/>
      <c r="O151" s="198"/>
      <c r="P151" s="198"/>
      <c r="Q151" s="198"/>
      <c r="R151" s="198"/>
      <c r="S151" s="197"/>
      <c r="T151" s="194"/>
      <c r="U151" s="197"/>
      <c r="V151" s="194"/>
      <c r="W151" s="195"/>
      <c r="X151" s="195"/>
      <c r="Y151" s="194"/>
      <c r="Z151" s="195"/>
      <c r="AA151" s="195"/>
      <c r="AB151" s="194"/>
      <c r="AC151" s="195"/>
      <c r="AD151" s="195"/>
      <c r="AE151" s="194"/>
      <c r="AF151" s="195"/>
      <c r="AG151" s="195"/>
      <c r="AH151" s="196"/>
      <c r="AI151" s="195"/>
      <c r="AJ151" s="195"/>
      <c r="AK151" s="194"/>
      <c r="AL151" s="195"/>
      <c r="AM151" s="195"/>
      <c r="AN151" s="194"/>
      <c r="AO151" s="195"/>
      <c r="AP151" s="195"/>
      <c r="AQ151" s="194"/>
      <c r="AR151" s="193"/>
      <c r="AS151" s="193"/>
      <c r="AT151" s="223">
        <f t="shared" si="66"/>
        <v>59.664694280078905</v>
      </c>
      <c r="AU151" s="217">
        <f t="shared" si="68"/>
        <v>49.080584099513253</v>
      </c>
      <c r="AV151" s="298">
        <f t="shared" si="73"/>
        <v>46.875</v>
      </c>
      <c r="AW151" s="223">
        <f t="shared" si="71"/>
        <v>39.388020833333343</v>
      </c>
      <c r="AX151" s="291">
        <f t="shared" si="74"/>
        <v>33.56139053254438</v>
      </c>
      <c r="AY151" s="217">
        <f t="shared" si="77"/>
        <v>32.306870772516909</v>
      </c>
      <c r="AZ151" s="223">
        <f t="shared" si="51"/>
        <v>27.931671283471843</v>
      </c>
      <c r="BA151" s="217">
        <f t="shared" si="53"/>
        <v>25.208333333333336</v>
      </c>
      <c r="BB151" s="223">
        <f t="shared" si="54"/>
        <v>20.216083760302965</v>
      </c>
      <c r="BC151" s="181">
        <f t="shared" si="56"/>
        <v>19.061121613106494</v>
      </c>
      <c r="BD151" s="217">
        <f t="shared" si="57"/>
        <v>18.002380480063486</v>
      </c>
      <c r="BE151" s="223">
        <f t="shared" si="59"/>
        <v>13.831732967535437</v>
      </c>
      <c r="BF151" s="217">
        <f t="shared" si="60"/>
        <v>12.560553633217994</v>
      </c>
      <c r="BG151" s="279">
        <f t="shared" si="62"/>
        <v>11.989694807768529</v>
      </c>
      <c r="BH151" s="223">
        <f t="shared" si="64"/>
        <v>10.95882139838184</v>
      </c>
      <c r="BI151" s="217">
        <f t="shared" si="65"/>
        <v>10.055401662049862</v>
      </c>
      <c r="BJ151" s="272">
        <f t="shared" si="69"/>
        <v>7.5</v>
      </c>
      <c r="BK151" s="223">
        <f t="shared" si="70"/>
        <v>6.8620037807183385</v>
      </c>
      <c r="BL151" s="217">
        <f t="shared" si="72"/>
        <v>5.8080000000000016</v>
      </c>
      <c r="BM151" s="264">
        <f t="shared" si="75"/>
        <v>5.3698224852071004</v>
      </c>
      <c r="BN151" s="223">
        <f t="shared" si="76"/>
        <v>4.9794238683127583</v>
      </c>
      <c r="BO151" s="253">
        <f t="shared" ref="BO151:BO182" si="78" xml:space="preserve"> 30*(B151/B$204)^2</f>
        <v>4.630102040816328</v>
      </c>
      <c r="BP151" s="304"/>
      <c r="BQ151" s="195"/>
      <c r="BR151" s="195"/>
      <c r="BS151" s="194"/>
      <c r="BT151" s="195"/>
      <c r="BU151" s="194"/>
      <c r="BV151" s="195"/>
      <c r="BW151" s="194"/>
      <c r="BX151" s="195"/>
      <c r="BY151" s="194"/>
      <c r="BZ151" s="195"/>
      <c r="CA151" s="194"/>
      <c r="CB151" s="195"/>
      <c r="CC151" s="194"/>
      <c r="CD151" s="195"/>
      <c r="CE151" s="194"/>
      <c r="CF151" s="195"/>
      <c r="CG151" s="194"/>
      <c r="CH151" s="195"/>
      <c r="CI151" s="194"/>
      <c r="CJ151" s="195"/>
      <c r="CK151" s="194"/>
      <c r="CL151" s="195"/>
      <c r="CM151" s="258"/>
    </row>
    <row r="152" spans="1:91" ht="10.5" customHeight="1">
      <c r="A152" s="179" t="str">
        <f t="shared" si="67"/>
        <v/>
      </c>
      <c r="B152" s="190">
        <v>0.56000000000000005</v>
      </c>
      <c r="C152" s="189"/>
      <c r="D152" s="189"/>
      <c r="E152" s="189"/>
      <c r="F152" s="292"/>
      <c r="G152" s="273"/>
      <c r="H152" s="188"/>
      <c r="I152" s="187"/>
      <c r="J152" s="187"/>
      <c r="K152" s="187"/>
      <c r="L152" s="187"/>
      <c r="M152" s="273"/>
      <c r="N152" s="187"/>
      <c r="O152" s="187"/>
      <c r="P152" s="187"/>
      <c r="Q152" s="187"/>
      <c r="R152" s="187"/>
      <c r="S152" s="186"/>
      <c r="T152" s="183"/>
      <c r="U152" s="186"/>
      <c r="V152" s="183"/>
      <c r="W152" s="184"/>
      <c r="X152" s="184"/>
      <c r="Y152" s="183"/>
      <c r="Z152" s="184"/>
      <c r="AA152" s="184"/>
      <c r="AB152" s="183"/>
      <c r="AC152" s="184"/>
      <c r="AD152" s="184"/>
      <c r="AE152" s="183"/>
      <c r="AF152" s="184"/>
      <c r="AG152" s="184"/>
      <c r="AH152" s="185"/>
      <c r="AI152" s="184"/>
      <c r="AJ152" s="184"/>
      <c r="AK152" s="183"/>
      <c r="AL152" s="184"/>
      <c r="AM152" s="184"/>
      <c r="AN152" s="183"/>
      <c r="AO152" s="184"/>
      <c r="AP152" s="184"/>
      <c r="AQ152" s="183"/>
      <c r="AR152" s="232"/>
      <c r="AS152" s="232"/>
      <c r="AT152" s="221">
        <f t="shared" si="66"/>
        <v>61.854043392504934</v>
      </c>
      <c r="AU152" s="214">
        <f t="shared" si="68"/>
        <v>50.88155759870201</v>
      </c>
      <c r="AV152" s="301">
        <f t="shared" si="73"/>
        <v>48.595041322314067</v>
      </c>
      <c r="AW152" s="221">
        <f t="shared" si="71"/>
        <v>40.833333333333343</v>
      </c>
      <c r="AX152" s="290">
        <f t="shared" si="74"/>
        <v>34.792899408284036</v>
      </c>
      <c r="AY152" s="214">
        <f t="shared" si="77"/>
        <v>33.492346030615877</v>
      </c>
      <c r="AZ152" s="221">
        <f t="shared" si="51"/>
        <v>28.956602031394286</v>
      </c>
      <c r="BA152" s="214">
        <f t="shared" si="53"/>
        <v>26.13333333333334</v>
      </c>
      <c r="BB152" s="221">
        <f t="shared" si="54"/>
        <v>20.957897081755405</v>
      </c>
      <c r="BC152" s="271">
        <f t="shared" si="56"/>
        <v>19.760554505356026</v>
      </c>
      <c r="BD152" s="214">
        <f t="shared" si="57"/>
        <v>18.662963697679032</v>
      </c>
      <c r="BE152" s="221">
        <f t="shared" si="59"/>
        <v>14.339277549154096</v>
      </c>
      <c r="BF152" s="214">
        <f t="shared" si="60"/>
        <v>13.021453287197236</v>
      </c>
      <c r="BG152" s="276">
        <f t="shared" si="62"/>
        <v>12.429647245342851</v>
      </c>
      <c r="BH152" s="221">
        <f t="shared" si="64"/>
        <v>11.360946745562131</v>
      </c>
      <c r="BI152" s="214">
        <f t="shared" si="65"/>
        <v>10.42437673130194</v>
      </c>
      <c r="BJ152" s="269">
        <f t="shared" si="69"/>
        <v>7.7752066115702494</v>
      </c>
      <c r="BK152" s="221">
        <f t="shared" si="70"/>
        <v>7.1137996219281678</v>
      </c>
      <c r="BL152" s="214">
        <f t="shared" si="72"/>
        <v>6.0211200000000016</v>
      </c>
      <c r="BM152" s="262">
        <f t="shared" si="75"/>
        <v>5.5668639053254436</v>
      </c>
      <c r="BN152" s="221">
        <f t="shared" si="76"/>
        <v>5.1621399176954732</v>
      </c>
      <c r="BO152" s="181">
        <f t="shared" si="78"/>
        <v>4.8000000000000016</v>
      </c>
      <c r="BP152" s="285"/>
      <c r="BQ152" s="184"/>
      <c r="BR152" s="184"/>
      <c r="BS152" s="183"/>
      <c r="BT152" s="184"/>
      <c r="BU152" s="183"/>
      <c r="BV152" s="184"/>
      <c r="BW152" s="183"/>
      <c r="BX152" s="184"/>
      <c r="BY152" s="183"/>
      <c r="BZ152" s="184"/>
      <c r="CA152" s="183"/>
      <c r="CB152" s="184"/>
      <c r="CC152" s="183"/>
      <c r="CD152" s="184"/>
      <c r="CE152" s="183"/>
      <c r="CF152" s="184"/>
      <c r="CG152" s="183"/>
      <c r="CH152" s="184"/>
      <c r="CI152" s="183"/>
      <c r="CJ152" s="184"/>
      <c r="CK152" s="183"/>
      <c r="CL152" s="184"/>
      <c r="CM152" s="256"/>
    </row>
    <row r="153" spans="1:91" ht="10.5" customHeight="1" thickBot="1">
      <c r="A153" s="179" t="str">
        <f t="shared" si="67"/>
        <v/>
      </c>
      <c r="B153" s="190">
        <v>0.56999999999999995</v>
      </c>
      <c r="C153" s="189"/>
      <c r="D153" s="189"/>
      <c r="E153" s="189"/>
      <c r="F153" s="292"/>
      <c r="G153" s="273"/>
      <c r="H153" s="188"/>
      <c r="I153" s="187"/>
      <c r="J153" s="187"/>
      <c r="K153" s="187"/>
      <c r="L153" s="187"/>
      <c r="M153" s="273"/>
      <c r="N153" s="187"/>
      <c r="O153" s="187"/>
      <c r="P153" s="187"/>
      <c r="Q153" s="187"/>
      <c r="R153" s="187"/>
      <c r="S153" s="186"/>
      <c r="T153" s="183"/>
      <c r="U153" s="186"/>
      <c r="V153" s="183"/>
      <c r="W153" s="184"/>
      <c r="X153" s="184"/>
      <c r="Y153" s="183"/>
      <c r="Z153" s="184"/>
      <c r="AA153" s="184"/>
      <c r="AB153" s="183"/>
      <c r="AC153" s="184"/>
      <c r="AD153" s="184"/>
      <c r="AE153" s="183"/>
      <c r="AF153" s="184"/>
      <c r="AG153" s="184"/>
      <c r="AH153" s="185"/>
      <c r="AI153" s="184"/>
      <c r="AJ153" s="184"/>
      <c r="AK153" s="183"/>
      <c r="AL153" s="184"/>
      <c r="AM153" s="184"/>
      <c r="AN153" s="183"/>
      <c r="AO153" s="184"/>
      <c r="AP153" s="184"/>
      <c r="AQ153" s="183"/>
      <c r="AR153" s="182"/>
      <c r="AS153" s="182"/>
      <c r="AT153" s="221">
        <f t="shared" si="66"/>
        <v>64.08284023668638</v>
      </c>
      <c r="AU153" s="214">
        <f t="shared" si="68"/>
        <v>52.714981070849106</v>
      </c>
      <c r="AV153" s="298">
        <f t="shared" si="73"/>
        <v>50.346074380165284</v>
      </c>
      <c r="AW153" s="221">
        <f t="shared" si="71"/>
        <v>42.3046875</v>
      </c>
      <c r="AX153" s="291">
        <f t="shared" si="74"/>
        <v>36.046597633136088</v>
      </c>
      <c r="AY153" s="214">
        <f t="shared" si="77"/>
        <v>34.699181203275174</v>
      </c>
      <c r="AZ153" s="235">
        <v>30</v>
      </c>
      <c r="BA153" s="214">
        <f t="shared" si="53"/>
        <v>27.074999999999999</v>
      </c>
      <c r="BB153" s="221">
        <f t="shared" si="54"/>
        <v>21.713076408999772</v>
      </c>
      <c r="BC153" s="181">
        <f t="shared" si="56"/>
        <v>20.472589792060489</v>
      </c>
      <c r="BD153" s="214">
        <f t="shared" si="57"/>
        <v>19.335449315611978</v>
      </c>
      <c r="BE153" s="221">
        <f t="shared" si="59"/>
        <v>14.855967078189297</v>
      </c>
      <c r="BF153" s="214">
        <f t="shared" si="60"/>
        <v>13.490657439446364</v>
      </c>
      <c r="BG153" s="279">
        <f t="shared" si="62"/>
        <v>12.877526753864446</v>
      </c>
      <c r="BH153" s="221">
        <f t="shared" si="64"/>
        <v>11.770317594493413</v>
      </c>
      <c r="BI153" s="214">
        <f t="shared" si="65"/>
        <v>10.799999999999999</v>
      </c>
      <c r="BJ153" s="272">
        <f t="shared" si="69"/>
        <v>8.0553719008264437</v>
      </c>
      <c r="BK153" s="221">
        <f t="shared" si="70"/>
        <v>7.3701323251417756</v>
      </c>
      <c r="BL153" s="214">
        <f t="shared" si="72"/>
        <v>6.2380799999999983</v>
      </c>
      <c r="BM153" s="264">
        <f t="shared" si="75"/>
        <v>5.7674556213017736</v>
      </c>
      <c r="BN153" s="221">
        <f t="shared" si="76"/>
        <v>5.3481481481481463</v>
      </c>
      <c r="BO153" s="181">
        <f t="shared" si="78"/>
        <v>4.9729591836734688</v>
      </c>
      <c r="BP153" s="261"/>
      <c r="BQ153" s="184"/>
      <c r="BR153" s="184"/>
      <c r="BS153" s="183"/>
      <c r="BT153" s="184"/>
      <c r="BU153" s="183"/>
      <c r="BV153" s="184"/>
      <c r="BW153" s="183"/>
      <c r="BX153" s="184"/>
      <c r="BY153" s="183"/>
      <c r="BZ153" s="184"/>
      <c r="CA153" s="183"/>
      <c r="CB153" s="184"/>
      <c r="CC153" s="183"/>
      <c r="CD153" s="184"/>
      <c r="CE153" s="183"/>
      <c r="CF153" s="184"/>
      <c r="CG153" s="183"/>
      <c r="CH153" s="184"/>
      <c r="CI153" s="183"/>
      <c r="CJ153" s="184"/>
      <c r="CK153" s="183"/>
      <c r="CL153" s="184"/>
      <c r="CM153" s="256"/>
    </row>
    <row r="154" spans="1:91" ht="10.5" customHeight="1" thickBot="1">
      <c r="A154" s="179" t="str">
        <f t="shared" si="67"/>
        <v/>
      </c>
      <c r="B154" s="213">
        <v>0.57999999999999996</v>
      </c>
      <c r="C154" s="212"/>
      <c r="D154" s="212"/>
      <c r="E154" s="212"/>
      <c r="F154" s="294"/>
      <c r="G154" s="270"/>
      <c r="H154" s="211"/>
      <c r="I154" s="210"/>
      <c r="J154" s="210"/>
      <c r="K154" s="210"/>
      <c r="L154" s="210"/>
      <c r="M154" s="270"/>
      <c r="N154" s="210"/>
      <c r="O154" s="210"/>
      <c r="P154" s="210"/>
      <c r="Q154" s="210"/>
      <c r="R154" s="210"/>
      <c r="S154" s="209"/>
      <c r="T154" s="207"/>
      <c r="U154" s="209"/>
      <c r="V154" s="207"/>
      <c r="W154" s="206"/>
      <c r="X154" s="206"/>
      <c r="Y154" s="207"/>
      <c r="Z154" s="206"/>
      <c r="AA154" s="206"/>
      <c r="AB154" s="207"/>
      <c r="AC154" s="206"/>
      <c r="AD154" s="206"/>
      <c r="AE154" s="207"/>
      <c r="AF154" s="206"/>
      <c r="AG154" s="206"/>
      <c r="AH154" s="208"/>
      <c r="AI154" s="206"/>
      <c r="AJ154" s="206"/>
      <c r="AK154" s="207"/>
      <c r="AL154" s="206"/>
      <c r="AM154" s="206"/>
      <c r="AN154" s="207"/>
      <c r="AO154" s="206"/>
      <c r="AP154" s="206"/>
      <c r="AQ154" s="207"/>
      <c r="AR154" s="226"/>
      <c r="AS154" s="226"/>
      <c r="AT154" s="225">
        <f t="shared" si="66"/>
        <v>66.351084812623256</v>
      </c>
      <c r="AU154" s="219">
        <f t="shared" si="68"/>
        <v>54.58085451595457</v>
      </c>
      <c r="AV154" s="301">
        <f t="shared" si="73"/>
        <v>52.128099173553714</v>
      </c>
      <c r="AW154" s="225">
        <f t="shared" si="71"/>
        <v>43.802083333333329</v>
      </c>
      <c r="AX154" s="290">
        <f t="shared" si="74"/>
        <v>37.322485207100577</v>
      </c>
      <c r="AY154" s="219">
        <f t="shared" si="77"/>
        <v>35.927376290494834</v>
      </c>
      <c r="AZ154" s="225">
        <f t="shared" ref="AZ154:AZ183" si="79" xml:space="preserve"> 30*(B154/B$153)^2</f>
        <v>31.061865189289016</v>
      </c>
      <c r="BA154" s="219">
        <f t="shared" si="53"/>
        <v>28.033333333333331</v>
      </c>
      <c r="BB154" s="225">
        <f t="shared" si="54"/>
        <v>22.481621742036079</v>
      </c>
      <c r="BC154" s="271">
        <f t="shared" si="56"/>
        <v>21.197227473219911</v>
      </c>
      <c r="BD154" s="219">
        <f t="shared" si="57"/>
        <v>20.019837333862331</v>
      </c>
      <c r="BE154" s="225">
        <f t="shared" si="59"/>
        <v>15.381801554641056</v>
      </c>
      <c r="BF154" s="219">
        <f t="shared" si="60"/>
        <v>13.968166089965399</v>
      </c>
      <c r="BG154" s="276">
        <f t="shared" si="62"/>
        <v>13.333333333333332</v>
      </c>
      <c r="BH154" s="225">
        <f t="shared" si="64"/>
        <v>12.186933945175701</v>
      </c>
      <c r="BI154" s="219">
        <f t="shared" si="65"/>
        <v>11.182271468144044</v>
      </c>
      <c r="BJ154" s="269">
        <f t="shared" si="69"/>
        <v>8.3404958677685936</v>
      </c>
      <c r="BK154" s="225">
        <f t="shared" si="70"/>
        <v>7.6310018903591681</v>
      </c>
      <c r="BL154" s="219">
        <f t="shared" si="72"/>
        <v>6.4588799999999988</v>
      </c>
      <c r="BM154" s="262">
        <f t="shared" si="75"/>
        <v>5.9715976331360938</v>
      </c>
      <c r="BN154" s="225">
        <f t="shared" si="76"/>
        <v>5.5374485596707812</v>
      </c>
      <c r="BO154" s="203">
        <f t="shared" si="78"/>
        <v>5.148979591836734</v>
      </c>
      <c r="BP154" s="268"/>
      <c r="BQ154" s="206"/>
      <c r="BR154" s="206"/>
      <c r="BS154" s="207"/>
      <c r="BT154" s="206"/>
      <c r="BU154" s="207"/>
      <c r="BV154" s="206"/>
      <c r="BW154" s="207"/>
      <c r="BX154" s="206"/>
      <c r="BY154" s="207"/>
      <c r="BZ154" s="206"/>
      <c r="CA154" s="207"/>
      <c r="CB154" s="206"/>
      <c r="CC154" s="207"/>
      <c r="CD154" s="206"/>
      <c r="CE154" s="207"/>
      <c r="CF154" s="206"/>
      <c r="CG154" s="207"/>
      <c r="CH154" s="206"/>
      <c r="CI154" s="207"/>
      <c r="CJ154" s="206"/>
      <c r="CK154" s="207"/>
      <c r="CL154" s="206"/>
      <c r="CM154" s="254"/>
    </row>
    <row r="155" spans="1:91" ht="10.5" customHeight="1" thickBot="1">
      <c r="A155" s="179" t="str">
        <f t="shared" si="67"/>
        <v/>
      </c>
      <c r="B155" s="201">
        <v>0.59</v>
      </c>
      <c r="C155" s="200"/>
      <c r="D155" s="200"/>
      <c r="E155" s="200"/>
      <c r="F155" s="293"/>
      <c r="G155" s="267"/>
      <c r="H155" s="199"/>
      <c r="I155" s="198"/>
      <c r="J155" s="198"/>
      <c r="K155" s="198"/>
      <c r="L155" s="198"/>
      <c r="M155" s="267"/>
      <c r="N155" s="198"/>
      <c r="O155" s="198"/>
      <c r="P155" s="198"/>
      <c r="Q155" s="198"/>
      <c r="R155" s="198"/>
      <c r="S155" s="197"/>
      <c r="T155" s="194"/>
      <c r="U155" s="197"/>
      <c r="V155" s="194"/>
      <c r="W155" s="195"/>
      <c r="X155" s="195"/>
      <c r="Y155" s="194"/>
      <c r="Z155" s="195"/>
      <c r="AA155" s="195"/>
      <c r="AB155" s="194"/>
      <c r="AC155" s="195"/>
      <c r="AD155" s="195"/>
      <c r="AE155" s="194"/>
      <c r="AF155" s="195"/>
      <c r="AG155" s="195"/>
      <c r="AH155" s="196"/>
      <c r="AI155" s="195"/>
      <c r="AJ155" s="195"/>
      <c r="AK155" s="194"/>
      <c r="AL155" s="195"/>
      <c r="AM155" s="195"/>
      <c r="AN155" s="194"/>
      <c r="AO155" s="195"/>
      <c r="AP155" s="195"/>
      <c r="AQ155" s="194"/>
      <c r="AR155" s="224"/>
      <c r="AS155" s="224"/>
      <c r="AT155" s="223">
        <f t="shared" si="66"/>
        <v>68.658777120315591</v>
      </c>
      <c r="AU155" s="217">
        <f t="shared" si="68"/>
        <v>56.479177934018388</v>
      </c>
      <c r="AV155" s="298">
        <f t="shared" si="73"/>
        <v>53.94111570247933</v>
      </c>
      <c r="AW155" s="223">
        <f t="shared" si="71"/>
        <v>45.325520833333343</v>
      </c>
      <c r="AX155" s="291">
        <f t="shared" si="74"/>
        <v>38.620562130177511</v>
      </c>
      <c r="AY155" s="217">
        <f t="shared" si="77"/>
        <v>37.17693129227483</v>
      </c>
      <c r="AZ155" s="223">
        <f t="shared" si="79"/>
        <v>32.142197599261316</v>
      </c>
      <c r="BA155" s="217">
        <f t="shared" si="53"/>
        <v>29.008333333333333</v>
      </c>
      <c r="BB155" s="223">
        <f t="shared" si="54"/>
        <v>23.263533080864327</v>
      </c>
      <c r="BC155" s="181">
        <f t="shared" si="56"/>
        <v>21.934467548834281</v>
      </c>
      <c r="BD155" s="217">
        <f t="shared" si="57"/>
        <v>20.716127752430076</v>
      </c>
      <c r="BE155" s="223">
        <f t="shared" si="59"/>
        <v>15.916780978509369</v>
      </c>
      <c r="BF155" s="217">
        <f t="shared" si="60"/>
        <v>14.453979238754325</v>
      </c>
      <c r="BG155" s="279">
        <f t="shared" si="62"/>
        <v>13.797066983749502</v>
      </c>
      <c r="BH155" s="223">
        <f t="shared" si="64"/>
        <v>12.610795797608981</v>
      </c>
      <c r="BI155" s="217">
        <f t="shared" si="65"/>
        <v>11.571191135734074</v>
      </c>
      <c r="BJ155" s="272">
        <f t="shared" si="69"/>
        <v>8.6305785123966903</v>
      </c>
      <c r="BK155" s="223">
        <f t="shared" si="70"/>
        <v>7.8964083175803417</v>
      </c>
      <c r="BL155" s="217">
        <f t="shared" si="72"/>
        <v>6.6835199999999997</v>
      </c>
      <c r="BM155" s="264">
        <f t="shared" si="75"/>
        <v>6.1792899408284008</v>
      </c>
      <c r="BN155" s="223">
        <f t="shared" si="76"/>
        <v>5.7300411522633734</v>
      </c>
      <c r="BO155" s="217">
        <f t="shared" si="78"/>
        <v>5.3280612244897956</v>
      </c>
      <c r="BP155" s="274">
        <f t="shared" ref="BP155:BP186" si="80" xml:space="preserve"> 30*(B155/B$206)^2</f>
        <v>4.6413333333333329</v>
      </c>
      <c r="BQ155" s="303"/>
      <c r="BR155" s="303"/>
      <c r="BS155" s="194"/>
      <c r="BT155" s="195"/>
      <c r="BU155" s="194"/>
      <c r="BV155" s="195"/>
      <c r="BW155" s="194"/>
      <c r="BX155" s="195"/>
      <c r="BY155" s="194"/>
      <c r="BZ155" s="195"/>
      <c r="CA155" s="194"/>
      <c r="CB155" s="195"/>
      <c r="CC155" s="194"/>
      <c r="CD155" s="195"/>
      <c r="CE155" s="194"/>
      <c r="CF155" s="195"/>
      <c r="CG155" s="194"/>
      <c r="CH155" s="195"/>
      <c r="CI155" s="194"/>
      <c r="CJ155" s="195"/>
      <c r="CK155" s="194"/>
      <c r="CL155" s="195"/>
      <c r="CM155" s="258"/>
    </row>
    <row r="156" spans="1:91" ht="10.5" customHeight="1" thickBot="1">
      <c r="A156" s="179" t="str">
        <f t="shared" si="67"/>
        <v/>
      </c>
      <c r="B156" s="190">
        <v>0.6</v>
      </c>
      <c r="C156" s="189"/>
      <c r="D156" s="189"/>
      <c r="E156" s="189"/>
      <c r="F156" s="292"/>
      <c r="G156" s="273"/>
      <c r="H156" s="188"/>
      <c r="I156" s="187"/>
      <c r="J156" s="187"/>
      <c r="K156" s="187"/>
      <c r="L156" s="187"/>
      <c r="M156" s="273"/>
      <c r="N156" s="187"/>
      <c r="O156" s="187"/>
      <c r="P156" s="187"/>
      <c r="Q156" s="187"/>
      <c r="R156" s="187"/>
      <c r="S156" s="186"/>
      <c r="T156" s="183"/>
      <c r="U156" s="186"/>
      <c r="V156" s="183"/>
      <c r="W156" s="184"/>
      <c r="X156" s="184"/>
      <c r="Y156" s="183"/>
      <c r="Z156" s="184"/>
      <c r="AA156" s="184"/>
      <c r="AB156" s="183"/>
      <c r="AC156" s="184"/>
      <c r="AD156" s="184"/>
      <c r="AE156" s="183"/>
      <c r="AF156" s="184"/>
      <c r="AG156" s="184"/>
      <c r="AH156" s="185"/>
      <c r="AI156" s="184"/>
      <c r="AJ156" s="184"/>
      <c r="AK156" s="183"/>
      <c r="AL156" s="184"/>
      <c r="AM156" s="184"/>
      <c r="AN156" s="183"/>
      <c r="AO156" s="184"/>
      <c r="AP156" s="184"/>
      <c r="AQ156" s="183"/>
      <c r="AR156" s="182"/>
      <c r="AS156" s="182"/>
      <c r="AT156" s="220">
        <f t="shared" si="66"/>
        <v>71.0059171597633</v>
      </c>
      <c r="AU156" s="214">
        <f t="shared" si="68"/>
        <v>58.409951325040566</v>
      </c>
      <c r="AV156" s="301">
        <f t="shared" si="73"/>
        <v>55.785123966942145</v>
      </c>
      <c r="AW156" s="221">
        <f t="shared" si="71"/>
        <v>46.875</v>
      </c>
      <c r="AX156" s="290">
        <f t="shared" si="74"/>
        <v>39.940828402366854</v>
      </c>
      <c r="AY156" s="214">
        <f t="shared" si="77"/>
        <v>38.447846208615161</v>
      </c>
      <c r="AZ156" s="221">
        <f t="shared" si="79"/>
        <v>33.240997229916893</v>
      </c>
      <c r="BA156" s="237">
        <v>30</v>
      </c>
      <c r="BB156" s="221">
        <f t="shared" si="54"/>
        <v>24.058810425484513</v>
      </c>
      <c r="BC156" s="271">
        <f t="shared" ref="BC156:BC187" si="81" xml:space="preserve"> 30*(B156/B$165)^2</f>
        <v>22.684310018903595</v>
      </c>
      <c r="BD156" s="214">
        <f t="shared" si="57"/>
        <v>21.424320571315214</v>
      </c>
      <c r="BE156" s="221">
        <f t="shared" si="59"/>
        <v>16.460905349794235</v>
      </c>
      <c r="BF156" s="214">
        <f t="shared" si="60"/>
        <v>14.94809688581315</v>
      </c>
      <c r="BG156" s="276">
        <f t="shared" si="62"/>
        <v>14.268727705112957</v>
      </c>
      <c r="BH156" s="221">
        <f t="shared" si="64"/>
        <v>13.041903151793262</v>
      </c>
      <c r="BI156" s="214">
        <f t="shared" si="65"/>
        <v>11.966759002770083</v>
      </c>
      <c r="BJ156" s="269">
        <f t="shared" si="69"/>
        <v>8.9256198347107425</v>
      </c>
      <c r="BK156" s="221">
        <f t="shared" si="70"/>
        <v>8.1663516068052928</v>
      </c>
      <c r="BL156" s="214">
        <f t="shared" si="72"/>
        <v>6.9119999999999999</v>
      </c>
      <c r="BM156" s="262">
        <f t="shared" si="75"/>
        <v>6.3905325443786971</v>
      </c>
      <c r="BN156" s="221">
        <f t="shared" si="76"/>
        <v>5.9259259259259256</v>
      </c>
      <c r="BO156" s="214">
        <f t="shared" si="78"/>
        <v>5.5102040816326543</v>
      </c>
      <c r="BP156" s="180">
        <f t="shared" si="80"/>
        <v>4.7999999999999989</v>
      </c>
      <c r="BQ156" s="257"/>
      <c r="BR156" s="255"/>
      <c r="BS156" s="285"/>
      <c r="BT156" s="184"/>
      <c r="BU156" s="183"/>
      <c r="BV156" s="184"/>
      <c r="BW156" s="183"/>
      <c r="BX156" s="184"/>
      <c r="BY156" s="183"/>
      <c r="BZ156" s="184"/>
      <c r="CA156" s="183"/>
      <c r="CB156" s="184"/>
      <c r="CC156" s="183"/>
      <c r="CD156" s="184"/>
      <c r="CE156" s="183"/>
      <c r="CF156" s="184"/>
      <c r="CG156" s="183"/>
      <c r="CH156" s="184"/>
      <c r="CI156" s="183"/>
      <c r="CJ156" s="184"/>
      <c r="CK156" s="183"/>
      <c r="CL156" s="184"/>
      <c r="CM156" s="256"/>
    </row>
    <row r="157" spans="1:91" ht="10.5" customHeight="1" thickBot="1">
      <c r="A157" s="179" t="str">
        <f t="shared" si="67"/>
        <v/>
      </c>
      <c r="B157" s="190">
        <v>0.61</v>
      </c>
      <c r="C157" s="189"/>
      <c r="D157" s="189"/>
      <c r="E157" s="189"/>
      <c r="F157" s="292"/>
      <c r="G157" s="273"/>
      <c r="H157" s="188"/>
      <c r="I157" s="187"/>
      <c r="J157" s="187"/>
      <c r="K157" s="187"/>
      <c r="L157" s="187"/>
      <c r="M157" s="273"/>
      <c r="N157" s="187"/>
      <c r="O157" s="187"/>
      <c r="P157" s="187"/>
      <c r="Q157" s="187"/>
      <c r="R157" s="187"/>
      <c r="S157" s="186"/>
      <c r="T157" s="183"/>
      <c r="U157" s="186"/>
      <c r="V157" s="183"/>
      <c r="W157" s="184"/>
      <c r="X157" s="184"/>
      <c r="Y157" s="183"/>
      <c r="Z157" s="184"/>
      <c r="AA157" s="184"/>
      <c r="AB157" s="183"/>
      <c r="AC157" s="184"/>
      <c r="AD157" s="184"/>
      <c r="AE157" s="183"/>
      <c r="AF157" s="184"/>
      <c r="AG157" s="184"/>
      <c r="AH157" s="185"/>
      <c r="AI157" s="184"/>
      <c r="AJ157" s="184"/>
      <c r="AK157" s="183"/>
      <c r="AL157" s="184"/>
      <c r="AM157" s="184"/>
      <c r="AN157" s="183"/>
      <c r="AO157" s="184"/>
      <c r="AP157" s="184"/>
      <c r="AQ157" s="183"/>
      <c r="AR157" s="184"/>
      <c r="AS157" s="184"/>
      <c r="AT157" s="215"/>
      <c r="AU157" s="214">
        <f t="shared" si="68"/>
        <v>60.373174689021091</v>
      </c>
      <c r="AV157" s="298">
        <f t="shared" si="73"/>
        <v>57.660123966942137</v>
      </c>
      <c r="AW157" s="221">
        <f t="shared" si="71"/>
        <v>48.450520833333329</v>
      </c>
      <c r="AX157" s="291">
        <f t="shared" si="74"/>
        <v>41.283284023668628</v>
      </c>
      <c r="AY157" s="214">
        <f t="shared" si="77"/>
        <v>39.740121039515834</v>
      </c>
      <c r="AZ157" s="221">
        <f t="shared" si="79"/>
        <v>34.358264081255768</v>
      </c>
      <c r="BA157" s="214">
        <f t="shared" ref="BA157:BA188" si="82" xml:space="preserve"> 30*(B157/B$156)^2</f>
        <v>31.008333333333333</v>
      </c>
      <c r="BB157" s="221">
        <f t="shared" si="54"/>
        <v>24.867453775896635</v>
      </c>
      <c r="BC157" s="181">
        <f t="shared" si="81"/>
        <v>23.446754883427854</v>
      </c>
      <c r="BD157" s="214">
        <f t="shared" si="57"/>
        <v>22.144415790517758</v>
      </c>
      <c r="BE157" s="221">
        <f t="shared" si="59"/>
        <v>17.014174668495652</v>
      </c>
      <c r="BF157" s="214">
        <f t="shared" si="60"/>
        <v>15.450519031141869</v>
      </c>
      <c r="BG157" s="279">
        <f t="shared" si="62"/>
        <v>14.748315497423704</v>
      </c>
      <c r="BH157" s="221">
        <f t="shared" si="64"/>
        <v>13.480256007728533</v>
      </c>
      <c r="BI157" s="214">
        <f t="shared" si="65"/>
        <v>12.368975069252077</v>
      </c>
      <c r="BJ157" s="272">
        <f t="shared" si="69"/>
        <v>9.2256198347107414</v>
      </c>
      <c r="BK157" s="221">
        <f t="shared" si="70"/>
        <v>8.4408317580340277</v>
      </c>
      <c r="BL157" s="214">
        <f t="shared" si="72"/>
        <v>7.1443199999999996</v>
      </c>
      <c r="BM157" s="264">
        <f t="shared" si="75"/>
        <v>6.6053254437869819</v>
      </c>
      <c r="BN157" s="221">
        <f t="shared" si="76"/>
        <v>6.125102880658436</v>
      </c>
      <c r="BO157" s="214">
        <f t="shared" si="78"/>
        <v>5.6954081632653057</v>
      </c>
      <c r="BP157" s="221">
        <f t="shared" si="80"/>
        <v>4.961333333333334</v>
      </c>
      <c r="BQ157" s="271">
        <f t="shared" ref="BQ157:BQ188" si="83" xml:space="preserve"> 30*(B157/B$207)^2</f>
        <v>4.6464099895941731</v>
      </c>
      <c r="BR157" s="257"/>
      <c r="BS157" s="285"/>
      <c r="BT157" s="184"/>
      <c r="BU157" s="183"/>
      <c r="BV157" s="184"/>
      <c r="BW157" s="183"/>
      <c r="BX157" s="184"/>
      <c r="BY157" s="183"/>
      <c r="BZ157" s="184"/>
      <c r="CA157" s="183"/>
      <c r="CB157" s="184"/>
      <c r="CC157" s="183"/>
      <c r="CD157" s="184"/>
      <c r="CE157" s="183"/>
      <c r="CF157" s="184"/>
      <c r="CG157" s="183"/>
      <c r="CH157" s="184"/>
      <c r="CI157" s="183"/>
      <c r="CJ157" s="184"/>
      <c r="CK157" s="183"/>
      <c r="CL157" s="184"/>
      <c r="CM157" s="256"/>
    </row>
    <row r="158" spans="1:91" ht="10.5" customHeight="1">
      <c r="A158" s="179" t="str">
        <f t="shared" si="67"/>
        <v/>
      </c>
      <c r="B158" s="213">
        <v>0.62</v>
      </c>
      <c r="C158" s="212"/>
      <c r="D158" s="212"/>
      <c r="E158" s="212"/>
      <c r="F158" s="294"/>
      <c r="G158" s="270"/>
      <c r="H158" s="211"/>
      <c r="I158" s="210"/>
      <c r="J158" s="210"/>
      <c r="K158" s="210"/>
      <c r="L158" s="210"/>
      <c r="M158" s="270"/>
      <c r="N158" s="210"/>
      <c r="O158" s="210"/>
      <c r="P158" s="210"/>
      <c r="Q158" s="210"/>
      <c r="R158" s="210"/>
      <c r="S158" s="209"/>
      <c r="T158" s="207"/>
      <c r="U158" s="209"/>
      <c r="V158" s="207"/>
      <c r="W158" s="206"/>
      <c r="X158" s="206"/>
      <c r="Y158" s="207"/>
      <c r="Z158" s="206"/>
      <c r="AA158" s="206"/>
      <c r="AB158" s="207"/>
      <c r="AC158" s="206"/>
      <c r="AD158" s="206"/>
      <c r="AE158" s="207"/>
      <c r="AF158" s="206"/>
      <c r="AG158" s="206"/>
      <c r="AH158" s="208"/>
      <c r="AI158" s="206"/>
      <c r="AJ158" s="206"/>
      <c r="AK158" s="207"/>
      <c r="AL158" s="206"/>
      <c r="AM158" s="206"/>
      <c r="AN158" s="207"/>
      <c r="AO158" s="206"/>
      <c r="AP158" s="206"/>
      <c r="AQ158" s="207"/>
      <c r="AR158" s="206"/>
      <c r="AS158" s="206"/>
      <c r="AT158" s="205"/>
      <c r="AU158" s="219">
        <f t="shared" si="68"/>
        <v>62.368848025959991</v>
      </c>
      <c r="AV158" s="301">
        <f t="shared" si="73"/>
        <v>59.566115702479344</v>
      </c>
      <c r="AW158" s="225">
        <f t="shared" si="71"/>
        <v>50.052083333333336</v>
      </c>
      <c r="AX158" s="290">
        <f t="shared" si="74"/>
        <v>42.647928994082839</v>
      </c>
      <c r="AY158" s="219">
        <f t="shared" si="77"/>
        <v>41.053755784976858</v>
      </c>
      <c r="AZ158" s="225">
        <f t="shared" si="79"/>
        <v>35.493998153277936</v>
      </c>
      <c r="BA158" s="219">
        <f t="shared" si="82"/>
        <v>32.033333333333339</v>
      </c>
      <c r="BB158" s="225">
        <f t="shared" si="54"/>
        <v>25.689463132100684</v>
      </c>
      <c r="BC158" s="271">
        <f t="shared" si="81"/>
        <v>24.221802142407064</v>
      </c>
      <c r="BD158" s="219">
        <f t="shared" si="57"/>
        <v>22.876413410037696</v>
      </c>
      <c r="BE158" s="225">
        <f t="shared" si="59"/>
        <v>17.576588934613621</v>
      </c>
      <c r="BF158" s="219">
        <f t="shared" si="60"/>
        <v>15.961245674740482</v>
      </c>
      <c r="BG158" s="276">
        <f t="shared" si="62"/>
        <v>15.235830360681728</v>
      </c>
      <c r="BH158" s="225">
        <f t="shared" si="64"/>
        <v>13.925854365414805</v>
      </c>
      <c r="BI158" s="219">
        <f t="shared" si="65"/>
        <v>12.777839335180056</v>
      </c>
      <c r="BJ158" s="269">
        <f t="shared" si="69"/>
        <v>9.5305785123966942</v>
      </c>
      <c r="BK158" s="225">
        <f t="shared" si="70"/>
        <v>8.7198487712665411</v>
      </c>
      <c r="BL158" s="219">
        <f t="shared" si="72"/>
        <v>7.3804799999999995</v>
      </c>
      <c r="BM158" s="262">
        <f t="shared" si="75"/>
        <v>6.8236686390532535</v>
      </c>
      <c r="BN158" s="225">
        <f t="shared" si="76"/>
        <v>6.3275720164609037</v>
      </c>
      <c r="BO158" s="219">
        <f t="shared" si="78"/>
        <v>5.8836734693877553</v>
      </c>
      <c r="BP158" s="225">
        <f t="shared" si="80"/>
        <v>5.1253333333333329</v>
      </c>
      <c r="BQ158" s="203">
        <f t="shared" si="83"/>
        <v>4.7999999999999989</v>
      </c>
      <c r="BR158" s="278" t="s">
        <v>3553</v>
      </c>
      <c r="BS158" s="286"/>
      <c r="BT158" s="206"/>
      <c r="BU158" s="207"/>
      <c r="BV158" s="206"/>
      <c r="BW158" s="207"/>
      <c r="BX158" s="206"/>
      <c r="BY158" s="207"/>
      <c r="BZ158" s="206"/>
      <c r="CA158" s="207"/>
      <c r="CB158" s="206"/>
      <c r="CC158" s="207"/>
      <c r="CD158" s="206"/>
      <c r="CE158" s="207"/>
      <c r="CF158" s="206"/>
      <c r="CG158" s="207"/>
      <c r="CH158" s="206"/>
      <c r="CI158" s="207"/>
      <c r="CJ158" s="206"/>
      <c r="CK158" s="207"/>
      <c r="CL158" s="206"/>
      <c r="CM158" s="254"/>
    </row>
    <row r="159" spans="1:91" ht="10.5" customHeight="1" thickBot="1">
      <c r="A159" s="179" t="str">
        <f t="shared" si="67"/>
        <v/>
      </c>
      <c r="B159" s="201">
        <v>0.63</v>
      </c>
      <c r="C159" s="200"/>
      <c r="D159" s="200"/>
      <c r="E159" s="200"/>
      <c r="F159" s="293"/>
      <c r="G159" s="267"/>
      <c r="H159" s="199"/>
      <c r="I159" s="198"/>
      <c r="J159" s="198"/>
      <c r="K159" s="198"/>
      <c r="L159" s="198"/>
      <c r="M159" s="267"/>
      <c r="N159" s="198"/>
      <c r="O159" s="198"/>
      <c r="P159" s="198"/>
      <c r="Q159" s="198"/>
      <c r="R159" s="198"/>
      <c r="S159" s="197"/>
      <c r="T159" s="194"/>
      <c r="U159" s="197"/>
      <c r="V159" s="194"/>
      <c r="W159" s="195"/>
      <c r="X159" s="195"/>
      <c r="Y159" s="194"/>
      <c r="Z159" s="195"/>
      <c r="AA159" s="195"/>
      <c r="AB159" s="194"/>
      <c r="AC159" s="195"/>
      <c r="AD159" s="195"/>
      <c r="AE159" s="194"/>
      <c r="AF159" s="195"/>
      <c r="AG159" s="195"/>
      <c r="AH159" s="196"/>
      <c r="AI159" s="195"/>
      <c r="AJ159" s="195"/>
      <c r="AK159" s="194"/>
      <c r="AL159" s="195"/>
      <c r="AM159" s="195"/>
      <c r="AN159" s="194"/>
      <c r="AO159" s="195"/>
      <c r="AP159" s="195"/>
      <c r="AQ159" s="194"/>
      <c r="AR159" s="195"/>
      <c r="AS159" s="195"/>
      <c r="AT159" s="228"/>
      <c r="AU159" s="217">
        <f t="shared" si="68"/>
        <v>64.396971335857216</v>
      </c>
      <c r="AV159" s="298">
        <f t="shared" si="73"/>
        <v>61.503099173553728</v>
      </c>
      <c r="AW159" s="223">
        <f t="shared" si="71"/>
        <v>51.6796875</v>
      </c>
      <c r="AX159" s="291">
        <f t="shared" si="74"/>
        <v>44.03476331360946</v>
      </c>
      <c r="AY159" s="217">
        <f t="shared" si="77"/>
        <v>42.388750444998216</v>
      </c>
      <c r="AZ159" s="223">
        <f t="shared" si="79"/>
        <v>36.648199445983387</v>
      </c>
      <c r="BA159" s="217">
        <f t="shared" si="82"/>
        <v>33.075000000000003</v>
      </c>
      <c r="BB159" s="223">
        <f t="shared" si="54"/>
        <v>26.524838494096677</v>
      </c>
      <c r="BC159" s="181">
        <f t="shared" si="81"/>
        <v>25.009451795841212</v>
      </c>
      <c r="BD159" s="217">
        <f t="shared" si="57"/>
        <v>23.620313429875026</v>
      </c>
      <c r="BE159" s="223">
        <f t="shared" si="59"/>
        <v>18.148148148148142</v>
      </c>
      <c r="BF159" s="217">
        <f t="shared" si="60"/>
        <v>16.480276816608999</v>
      </c>
      <c r="BG159" s="279">
        <f t="shared" si="62"/>
        <v>15.731272294887042</v>
      </c>
      <c r="BH159" s="223">
        <f t="shared" si="64"/>
        <v>14.378698224852069</v>
      </c>
      <c r="BI159" s="217">
        <f t="shared" si="65"/>
        <v>13.193351800554019</v>
      </c>
      <c r="BJ159" s="272">
        <f t="shared" si="69"/>
        <v>9.8404958677685919</v>
      </c>
      <c r="BK159" s="223">
        <f t="shared" si="70"/>
        <v>9.0034026465028365</v>
      </c>
      <c r="BL159" s="217">
        <f t="shared" si="72"/>
        <v>7.6204800000000006</v>
      </c>
      <c r="BM159" s="264">
        <f t="shared" si="75"/>
        <v>7.0455621301775144</v>
      </c>
      <c r="BN159" s="223">
        <f t="shared" si="76"/>
        <v>6.5333333333333323</v>
      </c>
      <c r="BO159" s="217">
        <f t="shared" si="78"/>
        <v>6.0750000000000002</v>
      </c>
      <c r="BP159" s="223">
        <f t="shared" si="80"/>
        <v>5.2919999999999989</v>
      </c>
      <c r="BQ159" s="192">
        <f t="shared" si="83"/>
        <v>4.9560874089490108</v>
      </c>
      <c r="BR159" s="302"/>
      <c r="BS159" s="263"/>
      <c r="BT159" s="195"/>
      <c r="BU159" s="194"/>
      <c r="BV159" s="195"/>
      <c r="BW159" s="194"/>
      <c r="BX159" s="195"/>
      <c r="BY159" s="194"/>
      <c r="BZ159" s="195"/>
      <c r="CA159" s="194"/>
      <c r="CB159" s="195"/>
      <c r="CC159" s="194"/>
      <c r="CD159" s="195"/>
      <c r="CE159" s="194"/>
      <c r="CF159" s="195"/>
      <c r="CG159" s="194"/>
      <c r="CH159" s="195"/>
      <c r="CI159" s="194"/>
      <c r="CJ159" s="195"/>
      <c r="CK159" s="194"/>
      <c r="CL159" s="195"/>
      <c r="CM159" s="258"/>
    </row>
    <row r="160" spans="1:91" ht="10.5" customHeight="1">
      <c r="A160" s="179" t="str">
        <f t="shared" si="67"/>
        <v/>
      </c>
      <c r="B160" s="190">
        <v>0.64</v>
      </c>
      <c r="C160" s="189"/>
      <c r="D160" s="189"/>
      <c r="E160" s="189"/>
      <c r="F160" s="292"/>
      <c r="G160" s="273"/>
      <c r="H160" s="188"/>
      <c r="I160" s="187"/>
      <c r="J160" s="187"/>
      <c r="K160" s="187"/>
      <c r="L160" s="187"/>
      <c r="M160" s="273"/>
      <c r="N160" s="187"/>
      <c r="O160" s="187"/>
      <c r="P160" s="187"/>
      <c r="Q160" s="187"/>
      <c r="R160" s="187"/>
      <c r="S160" s="186"/>
      <c r="T160" s="183"/>
      <c r="U160" s="186"/>
      <c r="V160" s="183"/>
      <c r="W160" s="184"/>
      <c r="X160" s="184"/>
      <c r="Y160" s="183"/>
      <c r="Z160" s="184"/>
      <c r="AA160" s="184"/>
      <c r="AB160" s="183"/>
      <c r="AC160" s="184"/>
      <c r="AD160" s="184"/>
      <c r="AE160" s="183"/>
      <c r="AF160" s="184"/>
      <c r="AG160" s="184"/>
      <c r="AH160" s="185"/>
      <c r="AI160" s="184"/>
      <c r="AJ160" s="184"/>
      <c r="AK160" s="183"/>
      <c r="AL160" s="184"/>
      <c r="AM160" s="184"/>
      <c r="AN160" s="183"/>
      <c r="AO160" s="184"/>
      <c r="AP160" s="184"/>
      <c r="AQ160" s="183"/>
      <c r="AR160" s="184"/>
      <c r="AS160" s="184"/>
      <c r="AT160" s="215"/>
      <c r="AU160" s="214">
        <f t="shared" si="68"/>
        <v>66.457544618712802</v>
      </c>
      <c r="AV160" s="301">
        <f t="shared" si="73"/>
        <v>63.471074380165291</v>
      </c>
      <c r="AW160" s="221">
        <f t="shared" si="71"/>
        <v>53.333333333333343</v>
      </c>
      <c r="AX160" s="290">
        <f t="shared" si="74"/>
        <v>45.443786982248525</v>
      </c>
      <c r="AY160" s="214">
        <f t="shared" si="77"/>
        <v>43.745105019579917</v>
      </c>
      <c r="AZ160" s="221">
        <f t="shared" si="79"/>
        <v>37.820867959372123</v>
      </c>
      <c r="BA160" s="214">
        <f t="shared" si="82"/>
        <v>34.133333333333333</v>
      </c>
      <c r="BB160" s="221">
        <f t="shared" si="54"/>
        <v>27.373579861884604</v>
      </c>
      <c r="BC160" s="271">
        <f t="shared" si="81"/>
        <v>25.809703843730315</v>
      </c>
      <c r="BD160" s="214">
        <f t="shared" si="57"/>
        <v>24.376115850029755</v>
      </c>
      <c r="BE160" s="221">
        <f t="shared" ref="BE160:BE176" si="84" xml:space="preserve"> 30*(B160/B$177)^2</f>
        <v>18.728852309099221</v>
      </c>
      <c r="BF160" s="214">
        <f t="shared" si="60"/>
        <v>17.007612456747403</v>
      </c>
      <c r="BG160" s="276">
        <f t="shared" si="62"/>
        <v>16.234641300039637</v>
      </c>
      <c r="BH160" s="221">
        <f t="shared" si="64"/>
        <v>14.838787586040331</v>
      </c>
      <c r="BI160" s="214">
        <f t="shared" si="65"/>
        <v>13.615512465373966</v>
      </c>
      <c r="BJ160" s="269">
        <f t="shared" si="69"/>
        <v>10.155371900826445</v>
      </c>
      <c r="BK160" s="221">
        <f t="shared" si="70"/>
        <v>9.2914933837429121</v>
      </c>
      <c r="BL160" s="214">
        <f t="shared" si="72"/>
        <v>7.8643199999999993</v>
      </c>
      <c r="BM160" s="262">
        <f t="shared" si="75"/>
        <v>7.2710059171597621</v>
      </c>
      <c r="BN160" s="221">
        <f t="shared" si="76"/>
        <v>6.7423868312757191</v>
      </c>
      <c r="BO160" s="214">
        <f t="shared" si="78"/>
        <v>6.2693877551020423</v>
      </c>
      <c r="BP160" s="221">
        <f t="shared" si="80"/>
        <v>5.461333333333334</v>
      </c>
      <c r="BQ160" s="181">
        <f t="shared" si="83"/>
        <v>5.1146722164412068</v>
      </c>
      <c r="BR160" s="300">
        <f t="shared" ref="BR160:BR191" si="85" xml:space="preserve"> 30*(B160/B$209)^2</f>
        <v>4.513498622589533</v>
      </c>
      <c r="BS160" s="299"/>
      <c r="BT160" s="184"/>
      <c r="BU160" s="183"/>
      <c r="BV160" s="184"/>
      <c r="BW160" s="183"/>
      <c r="BX160" s="184"/>
      <c r="BY160" s="183"/>
      <c r="BZ160" s="184"/>
      <c r="CA160" s="183"/>
      <c r="CB160" s="184"/>
      <c r="CC160" s="183"/>
      <c r="CD160" s="184"/>
      <c r="CE160" s="183"/>
      <c r="CF160" s="184"/>
      <c r="CG160" s="183"/>
      <c r="CH160" s="184"/>
      <c r="CI160" s="183"/>
      <c r="CJ160" s="184"/>
      <c r="CK160" s="183"/>
      <c r="CL160" s="184"/>
      <c r="CM160" s="256"/>
    </row>
    <row r="161" spans="1:91" ht="10.5" customHeight="1" thickBot="1">
      <c r="A161" s="179" t="str">
        <f t="shared" si="67"/>
        <v/>
      </c>
      <c r="B161" s="190">
        <v>0.65</v>
      </c>
      <c r="C161" s="189"/>
      <c r="D161" s="189"/>
      <c r="E161" s="189"/>
      <c r="F161" s="292"/>
      <c r="G161" s="273"/>
      <c r="H161" s="188"/>
      <c r="I161" s="187"/>
      <c r="J161" s="187"/>
      <c r="K161" s="187"/>
      <c r="L161" s="187"/>
      <c r="M161" s="273"/>
      <c r="N161" s="187"/>
      <c r="O161" s="187"/>
      <c r="P161" s="187"/>
      <c r="Q161" s="187"/>
      <c r="R161" s="187"/>
      <c r="S161" s="186"/>
      <c r="T161" s="183"/>
      <c r="U161" s="186"/>
      <c r="V161" s="183"/>
      <c r="W161" s="184"/>
      <c r="X161" s="184"/>
      <c r="Y161" s="183"/>
      <c r="Z161" s="184"/>
      <c r="AA161" s="184"/>
      <c r="AB161" s="183"/>
      <c r="AC161" s="184"/>
      <c r="AD161" s="184"/>
      <c r="AE161" s="183"/>
      <c r="AF161" s="184"/>
      <c r="AG161" s="184"/>
      <c r="AH161" s="185"/>
      <c r="AI161" s="184"/>
      <c r="AJ161" s="184"/>
      <c r="AK161" s="183"/>
      <c r="AL161" s="184"/>
      <c r="AM161" s="184"/>
      <c r="AN161" s="183"/>
      <c r="AO161" s="184"/>
      <c r="AP161" s="184"/>
      <c r="AQ161" s="183"/>
      <c r="AR161" s="184"/>
      <c r="AS161" s="184"/>
      <c r="AT161" s="215"/>
      <c r="AU161" s="214">
        <f t="shared" si="68"/>
        <v>68.550567874526763</v>
      </c>
      <c r="AV161" s="298">
        <f t="shared" si="73"/>
        <v>65.470041322314046</v>
      </c>
      <c r="AW161" s="221">
        <f t="shared" si="71"/>
        <v>55.013020833333343</v>
      </c>
      <c r="AX161" s="291">
        <f t="shared" si="74"/>
        <v>46.875</v>
      </c>
      <c r="AY161" s="214">
        <f t="shared" si="77"/>
        <v>45.12281950872196</v>
      </c>
      <c r="AZ161" s="221">
        <f t="shared" si="79"/>
        <v>39.01200369344415</v>
      </c>
      <c r="BA161" s="214">
        <f t="shared" si="82"/>
        <v>35.208333333333343</v>
      </c>
      <c r="BB161" s="221">
        <f t="shared" si="54"/>
        <v>28.235687235464471</v>
      </c>
      <c r="BC161" s="181">
        <f t="shared" si="81"/>
        <v>26.622558286074359</v>
      </c>
      <c r="BD161" s="214">
        <f t="shared" si="57"/>
        <v>25.143820670501892</v>
      </c>
      <c r="BE161" s="221">
        <f t="shared" si="84"/>
        <v>19.318701417466848</v>
      </c>
      <c r="BF161" s="214">
        <f t="shared" ref="BF161:BF180" si="86" xml:space="preserve"> 30*(B161/B$181)^2</f>
        <v>17.54325259515571</v>
      </c>
      <c r="BG161" s="279">
        <f t="shared" si="62"/>
        <v>16.745937376139516</v>
      </c>
      <c r="BH161" s="221">
        <f t="shared" si="64"/>
        <v>15.306122448979592</v>
      </c>
      <c r="BI161" s="214">
        <f t="shared" si="65"/>
        <v>14.044321329639891</v>
      </c>
      <c r="BJ161" s="272">
        <f t="shared" si="69"/>
        <v>10.475206611570245</v>
      </c>
      <c r="BK161" s="221">
        <f t="shared" si="70"/>
        <v>9.5841209829867697</v>
      </c>
      <c r="BL161" s="214">
        <f t="shared" si="72"/>
        <v>8.1120000000000001</v>
      </c>
      <c r="BM161" s="264">
        <f t="shared" si="75"/>
        <v>7.5</v>
      </c>
      <c r="BN161" s="221">
        <f t="shared" si="76"/>
        <v>6.9547325102880651</v>
      </c>
      <c r="BO161" s="214">
        <f t="shared" si="78"/>
        <v>6.4668367346938798</v>
      </c>
      <c r="BP161" s="221">
        <f t="shared" si="80"/>
        <v>5.6333333333333337</v>
      </c>
      <c r="BQ161" s="181">
        <f t="shared" si="83"/>
        <v>5.275754422476588</v>
      </c>
      <c r="BR161" s="252">
        <f t="shared" si="85"/>
        <v>4.6556473829201108</v>
      </c>
      <c r="BS161" s="297"/>
      <c r="BT161" s="184"/>
      <c r="BU161" s="183"/>
      <c r="BV161" s="184"/>
      <c r="BW161" s="183"/>
      <c r="BX161" s="184"/>
      <c r="BY161" s="183"/>
      <c r="BZ161" s="184"/>
      <c r="CA161" s="183"/>
      <c r="CB161" s="184"/>
      <c r="CC161" s="183"/>
      <c r="CD161" s="184"/>
      <c r="CE161" s="183"/>
      <c r="CF161" s="184"/>
      <c r="CG161" s="183"/>
      <c r="CH161" s="184"/>
      <c r="CI161" s="183"/>
      <c r="CJ161" s="184"/>
      <c r="CK161" s="183"/>
      <c r="CL161" s="184"/>
      <c r="CM161" s="256"/>
    </row>
    <row r="162" spans="1:91" ht="10.5" customHeight="1" thickBot="1">
      <c r="A162" s="179" t="str">
        <f t="shared" si="67"/>
        <v/>
      </c>
      <c r="B162" s="213">
        <v>0.66</v>
      </c>
      <c r="C162" s="212"/>
      <c r="D162" s="212"/>
      <c r="E162" s="212"/>
      <c r="F162" s="294"/>
      <c r="G162" s="270"/>
      <c r="H162" s="211"/>
      <c r="I162" s="210"/>
      <c r="J162" s="210"/>
      <c r="K162" s="210"/>
      <c r="L162" s="210"/>
      <c r="M162" s="270"/>
      <c r="N162" s="210"/>
      <c r="O162" s="210"/>
      <c r="P162" s="210"/>
      <c r="Q162" s="210"/>
      <c r="R162" s="210"/>
      <c r="S162" s="209"/>
      <c r="T162" s="207"/>
      <c r="U162" s="209"/>
      <c r="V162" s="207"/>
      <c r="W162" s="206"/>
      <c r="X162" s="206"/>
      <c r="Y162" s="207"/>
      <c r="Z162" s="206"/>
      <c r="AA162" s="206"/>
      <c r="AB162" s="207"/>
      <c r="AC162" s="206"/>
      <c r="AD162" s="206"/>
      <c r="AE162" s="207"/>
      <c r="AF162" s="206"/>
      <c r="AG162" s="206"/>
      <c r="AH162" s="208"/>
      <c r="AI162" s="206"/>
      <c r="AJ162" s="206"/>
      <c r="AK162" s="207"/>
      <c r="AL162" s="206"/>
      <c r="AM162" s="206"/>
      <c r="AN162" s="207"/>
      <c r="AO162" s="206"/>
      <c r="AP162" s="206"/>
      <c r="AQ162" s="207"/>
      <c r="AR162" s="206"/>
      <c r="AS162" s="206"/>
      <c r="AT162" s="205"/>
      <c r="AU162" s="204">
        <f t="shared" si="68"/>
        <v>70.676041103299085</v>
      </c>
      <c r="AV162" s="296">
        <f t="shared" si="73"/>
        <v>67.5</v>
      </c>
      <c r="AW162" s="225">
        <f t="shared" si="71"/>
        <v>56.718750000000021</v>
      </c>
      <c r="AX162" s="290">
        <f t="shared" si="74"/>
        <v>48.328402366863898</v>
      </c>
      <c r="AY162" s="219">
        <f t="shared" si="77"/>
        <v>46.521893912424346</v>
      </c>
      <c r="AZ162" s="225">
        <f t="shared" si="79"/>
        <v>40.221606648199447</v>
      </c>
      <c r="BA162" s="219">
        <f t="shared" si="82"/>
        <v>36.300000000000004</v>
      </c>
      <c r="BB162" s="225">
        <f t="shared" si="54"/>
        <v>29.111160614836262</v>
      </c>
      <c r="BC162" s="271">
        <f t="shared" si="81"/>
        <v>27.448015122873354</v>
      </c>
      <c r="BD162" s="219">
        <f t="shared" si="57"/>
        <v>25.923427891291414</v>
      </c>
      <c r="BE162" s="225">
        <f t="shared" si="84"/>
        <v>19.917695473251026</v>
      </c>
      <c r="BF162" s="219">
        <f t="shared" si="86"/>
        <v>18.087197231833912</v>
      </c>
      <c r="BG162" s="276">
        <f t="shared" ref="BG162:BG193" si="87" xml:space="preserve"> 30*(B162/B$183)^2</f>
        <v>17.265160523186687</v>
      </c>
      <c r="BH162" s="225">
        <f t="shared" si="64"/>
        <v>15.780702813669846</v>
      </c>
      <c r="BI162" s="219">
        <f t="shared" si="65"/>
        <v>14.479778393351802</v>
      </c>
      <c r="BJ162" s="269">
        <f t="shared" si="69"/>
        <v>10.799999999999999</v>
      </c>
      <c r="BK162" s="225">
        <f t="shared" si="70"/>
        <v>9.8812854442344058</v>
      </c>
      <c r="BL162" s="219">
        <f t="shared" si="72"/>
        <v>8.3635200000000012</v>
      </c>
      <c r="BM162" s="262">
        <f t="shared" si="75"/>
        <v>7.7325443786982238</v>
      </c>
      <c r="BN162" s="225">
        <f t="shared" si="76"/>
        <v>7.1703703703703701</v>
      </c>
      <c r="BO162" s="219">
        <f t="shared" si="78"/>
        <v>6.6673469387755118</v>
      </c>
      <c r="BP162" s="225">
        <f t="shared" si="80"/>
        <v>5.8079999999999998</v>
      </c>
      <c r="BQ162" s="219">
        <f t="shared" si="83"/>
        <v>5.4393340270551516</v>
      </c>
      <c r="BR162" s="251">
        <f t="shared" si="85"/>
        <v>4.8000000000000007</v>
      </c>
      <c r="BS162" s="240">
        <f t="shared" ref="BS162:BS209" si="88" xml:space="preserve"> 30*(B162/B$210)^2</f>
        <v>4.521799307958478</v>
      </c>
      <c r="BT162" s="283"/>
      <c r="BU162" s="207"/>
      <c r="BV162" s="206"/>
      <c r="BW162" s="207"/>
      <c r="BX162" s="206"/>
      <c r="BY162" s="207"/>
      <c r="BZ162" s="206"/>
      <c r="CA162" s="207"/>
      <c r="CB162" s="206"/>
      <c r="CC162" s="207"/>
      <c r="CD162" s="206"/>
      <c r="CE162" s="207"/>
      <c r="CF162" s="206"/>
      <c r="CG162" s="207"/>
      <c r="CH162" s="206"/>
      <c r="CI162" s="207"/>
      <c r="CJ162" s="206"/>
      <c r="CK162" s="207"/>
      <c r="CL162" s="206"/>
      <c r="CM162" s="254"/>
    </row>
    <row r="163" spans="1:91" ht="10.5" customHeight="1" thickBot="1">
      <c r="A163" s="179" t="str">
        <f t="shared" si="67"/>
        <v/>
      </c>
      <c r="B163" s="201">
        <v>0.67</v>
      </c>
      <c r="C163" s="200"/>
      <c r="D163" s="200"/>
      <c r="E163" s="200"/>
      <c r="F163" s="293"/>
      <c r="G163" s="267"/>
      <c r="H163" s="199"/>
      <c r="I163" s="198"/>
      <c r="J163" s="198"/>
      <c r="K163" s="198"/>
      <c r="L163" s="198"/>
      <c r="M163" s="295"/>
      <c r="N163" s="198"/>
      <c r="O163" s="198"/>
      <c r="P163" s="198"/>
      <c r="Q163" s="198"/>
      <c r="R163" s="198"/>
      <c r="S163" s="197"/>
      <c r="T163" s="194"/>
      <c r="U163" s="197"/>
      <c r="V163" s="194"/>
      <c r="W163" s="195"/>
      <c r="X163" s="195"/>
      <c r="Y163" s="194"/>
      <c r="Z163" s="195"/>
      <c r="AA163" s="195"/>
      <c r="AB163" s="194"/>
      <c r="AC163" s="195"/>
      <c r="AD163" s="195"/>
      <c r="AE163" s="194"/>
      <c r="AF163" s="195"/>
      <c r="AG163" s="195"/>
      <c r="AH163" s="196"/>
      <c r="AI163" s="195"/>
      <c r="AJ163" s="195"/>
      <c r="AK163" s="194"/>
      <c r="AL163" s="195"/>
      <c r="AM163" s="195"/>
      <c r="AN163" s="194"/>
      <c r="AO163" s="195"/>
      <c r="AP163" s="195"/>
      <c r="AQ163" s="194"/>
      <c r="AR163" s="195"/>
      <c r="AS163" s="195"/>
      <c r="AT163" s="194"/>
      <c r="AU163" s="193"/>
      <c r="AV163" s="193"/>
      <c r="AW163" s="223">
        <f t="shared" si="71"/>
        <v>58.450520833333343</v>
      </c>
      <c r="AX163" s="291">
        <f t="shared" si="74"/>
        <v>49.803994082840241</v>
      </c>
      <c r="AY163" s="217">
        <f t="shared" si="77"/>
        <v>47.942328230687075</v>
      </c>
      <c r="AZ163" s="223">
        <f t="shared" si="79"/>
        <v>41.449676823638043</v>
      </c>
      <c r="BA163" s="217">
        <f t="shared" si="82"/>
        <v>37.408333333333331</v>
      </c>
      <c r="BB163" s="238">
        <v>30</v>
      </c>
      <c r="BC163" s="181">
        <f t="shared" si="81"/>
        <v>28.28607435412729</v>
      </c>
      <c r="BD163" s="217">
        <f t="shared" si="57"/>
        <v>26.71493751239834</v>
      </c>
      <c r="BE163" s="223">
        <f t="shared" si="84"/>
        <v>20.52583447645176</v>
      </c>
      <c r="BF163" s="217">
        <f t="shared" si="86"/>
        <v>18.639446366782011</v>
      </c>
      <c r="BG163" s="279">
        <f t="shared" si="87"/>
        <v>17.792310741181137</v>
      </c>
      <c r="BH163" s="223">
        <f t="shared" si="64"/>
        <v>16.2625286801111</v>
      </c>
      <c r="BI163" s="217">
        <f t="shared" si="65"/>
        <v>14.921883656509699</v>
      </c>
      <c r="BJ163" s="272">
        <f t="shared" si="69"/>
        <v>11.129752066115703</v>
      </c>
      <c r="BK163" s="223">
        <f t="shared" si="70"/>
        <v>10.182986767485826</v>
      </c>
      <c r="BL163" s="217">
        <f t="shared" si="72"/>
        <v>8.6188800000000008</v>
      </c>
      <c r="BM163" s="264">
        <f t="shared" si="75"/>
        <v>7.9686390532544396</v>
      </c>
      <c r="BN163" s="223">
        <f t="shared" si="76"/>
        <v>7.3893004115226333</v>
      </c>
      <c r="BO163" s="217">
        <f t="shared" si="78"/>
        <v>6.8709183673469409</v>
      </c>
      <c r="BP163" s="223">
        <f t="shared" si="80"/>
        <v>5.9853333333333341</v>
      </c>
      <c r="BQ163" s="217">
        <f t="shared" si="83"/>
        <v>5.6054110301768993</v>
      </c>
      <c r="BR163" s="252">
        <f t="shared" si="85"/>
        <v>4.9465564738292027</v>
      </c>
      <c r="BS163" s="191">
        <f t="shared" si="88"/>
        <v>4.6598615916955026</v>
      </c>
      <c r="BT163" s="257"/>
      <c r="BU163" s="194"/>
      <c r="BV163" s="195"/>
      <c r="BW163" s="194"/>
      <c r="BX163" s="195"/>
      <c r="BY163" s="194"/>
      <c r="BZ163" s="195"/>
      <c r="CA163" s="194"/>
      <c r="CB163" s="195"/>
      <c r="CC163" s="194"/>
      <c r="CD163" s="195"/>
      <c r="CE163" s="194"/>
      <c r="CF163" s="195"/>
      <c r="CG163" s="194"/>
      <c r="CH163" s="195"/>
      <c r="CI163" s="194"/>
      <c r="CJ163" s="195"/>
      <c r="CK163" s="194"/>
      <c r="CL163" s="195"/>
      <c r="CM163" s="258"/>
    </row>
    <row r="164" spans="1:91" ht="10.5" customHeight="1">
      <c r="A164" s="179" t="str">
        <f t="shared" si="67"/>
        <v/>
      </c>
      <c r="B164" s="190">
        <v>0.68</v>
      </c>
      <c r="C164" s="189"/>
      <c r="D164" s="189"/>
      <c r="E164" s="189"/>
      <c r="F164" s="292"/>
      <c r="G164" s="273"/>
      <c r="H164" s="188"/>
      <c r="I164" s="187"/>
      <c r="J164" s="187"/>
      <c r="K164" s="187"/>
      <c r="L164" s="187"/>
      <c r="M164" s="187"/>
      <c r="N164" s="187"/>
      <c r="O164" s="187"/>
      <c r="P164" s="187"/>
      <c r="Q164" s="187"/>
      <c r="R164" s="187"/>
      <c r="S164" s="186"/>
      <c r="T164" s="183"/>
      <c r="U164" s="186"/>
      <c r="V164" s="183"/>
      <c r="W164" s="184"/>
      <c r="X164" s="184"/>
      <c r="Y164" s="183"/>
      <c r="Z164" s="184"/>
      <c r="AA164" s="184"/>
      <c r="AB164" s="183"/>
      <c r="AC164" s="184"/>
      <c r="AD164" s="184"/>
      <c r="AE164" s="183"/>
      <c r="AF164" s="184"/>
      <c r="AG164" s="184"/>
      <c r="AH164" s="185"/>
      <c r="AI164" s="184"/>
      <c r="AJ164" s="184"/>
      <c r="AK164" s="183"/>
      <c r="AL164" s="184"/>
      <c r="AM164" s="184"/>
      <c r="AN164" s="183"/>
      <c r="AO164" s="184"/>
      <c r="AP164" s="184"/>
      <c r="AQ164" s="183"/>
      <c r="AR164" s="184"/>
      <c r="AS164" s="184"/>
      <c r="AT164" s="183"/>
      <c r="AU164" s="182"/>
      <c r="AV164" s="182"/>
      <c r="AW164" s="221">
        <f t="shared" si="71"/>
        <v>60.208333333333343</v>
      </c>
      <c r="AX164" s="290">
        <f t="shared" si="74"/>
        <v>51.301775147928993</v>
      </c>
      <c r="AY164" s="214">
        <f t="shared" si="77"/>
        <v>49.384122463510145</v>
      </c>
      <c r="AZ164" s="221">
        <f t="shared" si="79"/>
        <v>42.696214219759938</v>
      </c>
      <c r="BA164" s="214">
        <f t="shared" si="82"/>
        <v>38.533333333333346</v>
      </c>
      <c r="BB164" s="221">
        <f t="shared" ref="BB164:BB197" si="89" xml:space="preserve"> 30*(B164/B$163)^2</f>
        <v>30.902205390955672</v>
      </c>
      <c r="BC164" s="271">
        <f t="shared" si="81"/>
        <v>29.136735979836178</v>
      </c>
      <c r="BD164" s="214">
        <f t="shared" si="57"/>
        <v>27.518349533822661</v>
      </c>
      <c r="BE164" s="221">
        <f t="shared" si="84"/>
        <v>21.143118427069041</v>
      </c>
      <c r="BF164" s="214">
        <f t="shared" si="86"/>
        <v>19.200000000000003</v>
      </c>
      <c r="BG164" s="276">
        <f t="shared" si="87"/>
        <v>18.327388030122872</v>
      </c>
      <c r="BH164" s="221">
        <f t="shared" ref="BH164:BH186" si="90" xml:space="preserve"> 30*(B164/B$187)^2</f>
        <v>16.751600048303345</v>
      </c>
      <c r="BI164" s="214">
        <f t="shared" si="65"/>
        <v>15.37063711911358</v>
      </c>
      <c r="BJ164" s="269">
        <f t="shared" si="69"/>
        <v>11.464462809917354</v>
      </c>
      <c r="BK164" s="221">
        <f t="shared" si="70"/>
        <v>10.489224952741026</v>
      </c>
      <c r="BL164" s="214">
        <f t="shared" si="72"/>
        <v>8.8780800000000006</v>
      </c>
      <c r="BM164" s="262">
        <f t="shared" si="75"/>
        <v>8.2082840236686394</v>
      </c>
      <c r="BN164" s="221">
        <f t="shared" si="76"/>
        <v>7.6115226337448547</v>
      </c>
      <c r="BO164" s="214">
        <f t="shared" si="78"/>
        <v>7.0775510204081646</v>
      </c>
      <c r="BP164" s="221">
        <f t="shared" si="80"/>
        <v>6.1653333333333347</v>
      </c>
      <c r="BQ164" s="214">
        <f t="shared" si="83"/>
        <v>5.7739854318418322</v>
      </c>
      <c r="BR164" s="251">
        <f t="shared" si="85"/>
        <v>5.0953168044077151</v>
      </c>
      <c r="BS164" s="221">
        <f t="shared" si="88"/>
        <v>4.8000000000000007</v>
      </c>
      <c r="BT164" s="271">
        <f t="shared" ref="BT164:BT210" si="91" xml:space="preserve"> 30*(B164/B$211)^2</f>
        <v>4.5296326530612259</v>
      </c>
      <c r="BU164" s="285"/>
      <c r="BV164" s="184"/>
      <c r="BW164" s="183"/>
      <c r="BX164" s="184"/>
      <c r="BY164" s="183"/>
      <c r="BZ164" s="184"/>
      <c r="CA164" s="183"/>
      <c r="CB164" s="184"/>
      <c r="CC164" s="183"/>
      <c r="CD164" s="184"/>
      <c r="CE164" s="183"/>
      <c r="CF164" s="184"/>
      <c r="CG164" s="183"/>
      <c r="CH164" s="184"/>
      <c r="CI164" s="183"/>
      <c r="CJ164" s="184"/>
      <c r="CK164" s="183"/>
      <c r="CL164" s="184"/>
      <c r="CM164" s="256"/>
    </row>
    <row r="165" spans="1:91" ht="10.5" customHeight="1" thickBot="1">
      <c r="A165" s="179" t="str">
        <f t="shared" si="67"/>
        <v/>
      </c>
      <c r="B165" s="190">
        <v>0.69</v>
      </c>
      <c r="C165" s="189"/>
      <c r="D165" s="189"/>
      <c r="E165" s="189"/>
      <c r="F165" s="292"/>
      <c r="G165" s="273"/>
      <c r="H165" s="188"/>
      <c r="I165" s="187"/>
      <c r="J165" s="187"/>
      <c r="K165" s="187"/>
      <c r="L165" s="187"/>
      <c r="M165" s="187"/>
      <c r="N165" s="187"/>
      <c r="O165" s="187"/>
      <c r="P165" s="187"/>
      <c r="Q165" s="187"/>
      <c r="R165" s="187"/>
      <c r="S165" s="186"/>
      <c r="T165" s="183"/>
      <c r="U165" s="186"/>
      <c r="V165" s="183"/>
      <c r="W165" s="184"/>
      <c r="X165" s="184"/>
      <c r="Y165" s="183"/>
      <c r="Z165" s="184"/>
      <c r="AA165" s="184"/>
      <c r="AB165" s="183"/>
      <c r="AC165" s="184"/>
      <c r="AD165" s="184"/>
      <c r="AE165" s="183"/>
      <c r="AF165" s="184"/>
      <c r="AG165" s="184"/>
      <c r="AH165" s="185"/>
      <c r="AI165" s="184"/>
      <c r="AJ165" s="184"/>
      <c r="AK165" s="183"/>
      <c r="AL165" s="184"/>
      <c r="AM165" s="184"/>
      <c r="AN165" s="183"/>
      <c r="AO165" s="184"/>
      <c r="AP165" s="184"/>
      <c r="AQ165" s="183"/>
      <c r="AR165" s="184"/>
      <c r="AS165" s="184"/>
      <c r="AT165" s="183"/>
      <c r="AU165" s="182"/>
      <c r="AV165" s="182"/>
      <c r="AW165" s="221">
        <f t="shared" si="71"/>
        <v>61.9921875</v>
      </c>
      <c r="AX165" s="291">
        <f t="shared" si="74"/>
        <v>52.821745562130168</v>
      </c>
      <c r="AY165" s="214">
        <f t="shared" si="77"/>
        <v>50.847276610893552</v>
      </c>
      <c r="AZ165" s="221">
        <f t="shared" si="79"/>
        <v>43.961218836565095</v>
      </c>
      <c r="BA165" s="214">
        <f t="shared" si="82"/>
        <v>39.674999999999997</v>
      </c>
      <c r="BB165" s="221">
        <f t="shared" si="89"/>
        <v>31.817776787703266</v>
      </c>
      <c r="BC165" s="181">
        <f t="shared" si="81"/>
        <v>30</v>
      </c>
      <c r="BD165" s="214">
        <f t="shared" si="57"/>
        <v>28.333663955564369</v>
      </c>
      <c r="BE165" s="221">
        <f t="shared" si="84"/>
        <v>21.769547325102877</v>
      </c>
      <c r="BF165" s="214">
        <f t="shared" si="86"/>
        <v>19.768858131487889</v>
      </c>
      <c r="BG165" s="279">
        <f t="shared" si="87"/>
        <v>18.870392390011887</v>
      </c>
      <c r="BH165" s="221">
        <f t="shared" si="90"/>
        <v>17.247916918246588</v>
      </c>
      <c r="BI165" s="214">
        <f t="shared" ref="BI165:BI190" si="92" xml:space="preserve"> 30*(B165/B$191)^2</f>
        <v>15.826038781163433</v>
      </c>
      <c r="BJ165" s="272">
        <f t="shared" si="69"/>
        <v>11.804132231404957</v>
      </c>
      <c r="BK165" s="221">
        <f t="shared" si="70"/>
        <v>10.799999999999999</v>
      </c>
      <c r="BL165" s="214">
        <f t="shared" si="72"/>
        <v>9.1411199999999972</v>
      </c>
      <c r="BM165" s="264">
        <f t="shared" si="75"/>
        <v>8.4514792899408242</v>
      </c>
      <c r="BN165" s="221">
        <f t="shared" si="76"/>
        <v>7.8370370370370352</v>
      </c>
      <c r="BO165" s="214">
        <f t="shared" si="78"/>
        <v>7.2872448979591828</v>
      </c>
      <c r="BP165" s="221">
        <f t="shared" si="80"/>
        <v>6.347999999999999</v>
      </c>
      <c r="BQ165" s="214">
        <f t="shared" si="83"/>
        <v>5.9450572320499475</v>
      </c>
      <c r="BR165" s="252">
        <f t="shared" si="85"/>
        <v>5.246280991735536</v>
      </c>
      <c r="BS165" s="221">
        <f t="shared" si="88"/>
        <v>4.9422145328719722</v>
      </c>
      <c r="BT165" s="181">
        <f t="shared" si="91"/>
        <v>4.6638367346938763</v>
      </c>
      <c r="BU165" s="285"/>
      <c r="BV165" s="184"/>
      <c r="BW165" s="183"/>
      <c r="BX165" s="184"/>
      <c r="BY165" s="183"/>
      <c r="BZ165" s="184"/>
      <c r="CA165" s="183"/>
      <c r="CB165" s="184"/>
      <c r="CC165" s="183"/>
      <c r="CD165" s="184"/>
      <c r="CE165" s="183"/>
      <c r="CF165" s="184"/>
      <c r="CG165" s="183"/>
      <c r="CH165" s="184"/>
      <c r="CI165" s="183"/>
      <c r="CJ165" s="184"/>
      <c r="CK165" s="183"/>
      <c r="CL165" s="184"/>
      <c r="CM165" s="256"/>
    </row>
    <row r="166" spans="1:91" ht="10.5" customHeight="1">
      <c r="A166" s="179" t="str">
        <f t="shared" si="67"/>
        <v/>
      </c>
      <c r="B166" s="213">
        <v>0.7</v>
      </c>
      <c r="C166" s="212"/>
      <c r="D166" s="212"/>
      <c r="E166" s="212"/>
      <c r="F166" s="294"/>
      <c r="G166" s="270"/>
      <c r="H166" s="211"/>
      <c r="I166" s="210"/>
      <c r="J166" s="210"/>
      <c r="K166" s="210"/>
      <c r="L166" s="210"/>
      <c r="M166" s="210"/>
      <c r="N166" s="210"/>
      <c r="O166" s="210"/>
      <c r="P166" s="210"/>
      <c r="Q166" s="210"/>
      <c r="R166" s="210"/>
      <c r="S166" s="209"/>
      <c r="T166" s="207"/>
      <c r="U166" s="209"/>
      <c r="V166" s="207"/>
      <c r="W166" s="206"/>
      <c r="X166" s="206"/>
      <c r="Y166" s="207"/>
      <c r="Z166" s="206"/>
      <c r="AA166" s="206"/>
      <c r="AB166" s="207"/>
      <c r="AC166" s="206"/>
      <c r="AD166" s="206"/>
      <c r="AE166" s="207"/>
      <c r="AF166" s="206"/>
      <c r="AG166" s="206"/>
      <c r="AH166" s="208"/>
      <c r="AI166" s="206"/>
      <c r="AJ166" s="206"/>
      <c r="AK166" s="207"/>
      <c r="AL166" s="206"/>
      <c r="AM166" s="206"/>
      <c r="AN166" s="207"/>
      <c r="AO166" s="206"/>
      <c r="AP166" s="206"/>
      <c r="AQ166" s="207"/>
      <c r="AR166" s="206"/>
      <c r="AS166" s="206"/>
      <c r="AT166" s="207"/>
      <c r="AU166" s="226"/>
      <c r="AV166" s="226"/>
      <c r="AW166" s="225">
        <f t="shared" si="71"/>
        <v>63.802083333333321</v>
      </c>
      <c r="AX166" s="290">
        <f t="shared" si="74"/>
        <v>54.363905325443781</v>
      </c>
      <c r="AY166" s="219">
        <f t="shared" si="77"/>
        <v>52.3317906728373</v>
      </c>
      <c r="AZ166" s="225">
        <f t="shared" si="79"/>
        <v>45.244690674053558</v>
      </c>
      <c r="BA166" s="219">
        <f t="shared" si="82"/>
        <v>40.833333333333343</v>
      </c>
      <c r="BB166" s="225">
        <f t="shared" si="89"/>
        <v>32.746714190242812</v>
      </c>
      <c r="BC166" s="271">
        <f t="shared" si="81"/>
        <v>30.87586641461878</v>
      </c>
      <c r="BD166" s="219">
        <f t="shared" si="57"/>
        <v>29.16088077762349</v>
      </c>
      <c r="BE166" s="225">
        <f t="shared" si="84"/>
        <v>22.405121170553262</v>
      </c>
      <c r="BF166" s="219">
        <f t="shared" si="86"/>
        <v>20.346020761245672</v>
      </c>
      <c r="BG166" s="276">
        <f t="shared" si="87"/>
        <v>19.42132382084819</v>
      </c>
      <c r="BH166" s="225">
        <f t="shared" si="90"/>
        <v>17.751479289940825</v>
      </c>
      <c r="BI166" s="219">
        <f t="shared" si="92"/>
        <v>16.288088642659279</v>
      </c>
      <c r="BJ166" s="269">
        <f t="shared" si="69"/>
        <v>12.148760330578508</v>
      </c>
      <c r="BK166" s="225">
        <f t="shared" si="70"/>
        <v>11.115311909262761</v>
      </c>
      <c r="BL166" s="219">
        <f t="shared" si="72"/>
        <v>9.4079999999999977</v>
      </c>
      <c r="BM166" s="262">
        <f t="shared" si="75"/>
        <v>8.6982248520710055</v>
      </c>
      <c r="BN166" s="225">
        <f t="shared" si="76"/>
        <v>8.0658436213991749</v>
      </c>
      <c r="BO166" s="219">
        <f t="shared" si="78"/>
        <v>7.5</v>
      </c>
      <c r="BP166" s="225">
        <f t="shared" si="80"/>
        <v>6.5333333333333323</v>
      </c>
      <c r="BQ166" s="219">
        <f t="shared" si="83"/>
        <v>6.118626430801247</v>
      </c>
      <c r="BR166" s="251">
        <f t="shared" si="85"/>
        <v>5.3994490358126725</v>
      </c>
      <c r="BS166" s="225">
        <f t="shared" si="88"/>
        <v>5.086505190311418</v>
      </c>
      <c r="BT166" s="203">
        <f t="shared" si="91"/>
        <v>4.7999999999999989</v>
      </c>
      <c r="BU166" s="268"/>
      <c r="BV166" s="206"/>
      <c r="BW166" s="207"/>
      <c r="BX166" s="206"/>
      <c r="BY166" s="207"/>
      <c r="BZ166" s="206"/>
      <c r="CA166" s="207"/>
      <c r="CB166" s="206"/>
      <c r="CC166" s="207"/>
      <c r="CD166" s="206"/>
      <c r="CE166" s="207"/>
      <c r="CF166" s="206"/>
      <c r="CG166" s="207"/>
      <c r="CH166" s="206"/>
      <c r="CI166" s="207"/>
      <c r="CJ166" s="206"/>
      <c r="CK166" s="207"/>
      <c r="CL166" s="206"/>
      <c r="CM166" s="254"/>
    </row>
    <row r="167" spans="1:91" ht="10.5" customHeight="1" thickBot="1">
      <c r="A167" s="179" t="str">
        <f t="shared" si="67"/>
        <v/>
      </c>
      <c r="B167" s="201">
        <v>0.71</v>
      </c>
      <c r="C167" s="200"/>
      <c r="D167" s="200"/>
      <c r="E167" s="200"/>
      <c r="F167" s="293"/>
      <c r="G167" s="267"/>
      <c r="H167" s="199"/>
      <c r="I167" s="198"/>
      <c r="J167" s="198"/>
      <c r="K167" s="198"/>
      <c r="L167" s="198"/>
      <c r="M167" s="198"/>
      <c r="N167" s="198"/>
      <c r="O167" s="198"/>
      <c r="P167" s="198"/>
      <c r="Q167" s="198"/>
      <c r="R167" s="198"/>
      <c r="S167" s="197"/>
      <c r="T167" s="194"/>
      <c r="U167" s="197"/>
      <c r="V167" s="194"/>
      <c r="W167" s="195"/>
      <c r="X167" s="195"/>
      <c r="Y167" s="194"/>
      <c r="Z167" s="195"/>
      <c r="AA167" s="195"/>
      <c r="AB167" s="194"/>
      <c r="AC167" s="195"/>
      <c r="AD167" s="195"/>
      <c r="AE167" s="194"/>
      <c r="AF167" s="195"/>
      <c r="AG167" s="195"/>
      <c r="AH167" s="196"/>
      <c r="AI167" s="195"/>
      <c r="AJ167" s="195"/>
      <c r="AK167" s="194"/>
      <c r="AL167" s="195"/>
      <c r="AM167" s="195"/>
      <c r="AN167" s="194"/>
      <c r="AO167" s="195"/>
      <c r="AP167" s="195"/>
      <c r="AQ167" s="194"/>
      <c r="AR167" s="195"/>
      <c r="AS167" s="195"/>
      <c r="AT167" s="194"/>
      <c r="AU167" s="224"/>
      <c r="AV167" s="224"/>
      <c r="AW167" s="223">
        <f t="shared" si="71"/>
        <v>65.638020833333343</v>
      </c>
      <c r="AX167" s="291">
        <f t="shared" si="74"/>
        <v>55.928254437869811</v>
      </c>
      <c r="AY167" s="217">
        <f t="shared" si="77"/>
        <v>53.837664649341399</v>
      </c>
      <c r="AZ167" s="223">
        <f t="shared" si="79"/>
        <v>46.546629732225306</v>
      </c>
      <c r="BA167" s="217">
        <f t="shared" si="82"/>
        <v>42.008333333333333</v>
      </c>
      <c r="BB167" s="223">
        <f t="shared" si="89"/>
        <v>33.689017598574289</v>
      </c>
      <c r="BC167" s="181">
        <f t="shared" si="81"/>
        <v>31.764335223692509</v>
      </c>
      <c r="BD167" s="234">
        <v>30</v>
      </c>
      <c r="BE167" s="223">
        <f t="shared" si="84"/>
        <v>23.049839963420204</v>
      </c>
      <c r="BF167" s="217">
        <f t="shared" si="86"/>
        <v>20.93148788927336</v>
      </c>
      <c r="BG167" s="279">
        <f t="shared" si="87"/>
        <v>19.980182322631787</v>
      </c>
      <c r="BH167" s="223">
        <f t="shared" si="90"/>
        <v>18.262287163386059</v>
      </c>
      <c r="BI167" s="217">
        <f t="shared" si="92"/>
        <v>16.756786703601108</v>
      </c>
      <c r="BJ167" s="272">
        <f t="shared" si="69"/>
        <v>12.498347107438015</v>
      </c>
      <c r="BK167" s="223">
        <f t="shared" si="70"/>
        <v>11.4351606805293</v>
      </c>
      <c r="BL167" s="217">
        <f t="shared" si="72"/>
        <v>9.6787199999999984</v>
      </c>
      <c r="BM167" s="264">
        <f t="shared" si="75"/>
        <v>8.948520710059169</v>
      </c>
      <c r="BN167" s="223">
        <f t="shared" si="76"/>
        <v>8.2979423868312754</v>
      </c>
      <c r="BO167" s="217">
        <f t="shared" si="78"/>
        <v>7.7158163265306108</v>
      </c>
      <c r="BP167" s="223">
        <f t="shared" si="80"/>
        <v>6.7213333333333329</v>
      </c>
      <c r="BQ167" s="217">
        <f t="shared" si="83"/>
        <v>6.2946930280957316</v>
      </c>
      <c r="BR167" s="252">
        <f t="shared" si="85"/>
        <v>5.5548209366391177</v>
      </c>
      <c r="BS167" s="223">
        <f t="shared" si="88"/>
        <v>5.2328719723183399</v>
      </c>
      <c r="BT167" s="192">
        <f t="shared" si="91"/>
        <v>4.9381224489795912</v>
      </c>
      <c r="BU167" s="263"/>
      <c r="BV167" s="195"/>
      <c r="BW167" s="194"/>
      <c r="BX167" s="195"/>
      <c r="BY167" s="194"/>
      <c r="BZ167" s="195"/>
      <c r="CA167" s="194"/>
      <c r="CB167" s="195"/>
      <c r="CC167" s="194"/>
      <c r="CD167" s="195"/>
      <c r="CE167" s="194"/>
      <c r="CF167" s="195"/>
      <c r="CG167" s="194"/>
      <c r="CH167" s="195"/>
      <c r="CI167" s="194"/>
      <c r="CJ167" s="195"/>
      <c r="CK167" s="194"/>
      <c r="CL167" s="195"/>
      <c r="CM167" s="258"/>
    </row>
    <row r="168" spans="1:91" ht="10.5" customHeight="1">
      <c r="A168" s="179" t="str">
        <f t="shared" si="67"/>
        <v/>
      </c>
      <c r="B168" s="190">
        <v>0.72</v>
      </c>
      <c r="C168" s="189"/>
      <c r="D168" s="189"/>
      <c r="E168" s="189"/>
      <c r="F168" s="292"/>
      <c r="G168" s="273"/>
      <c r="H168" s="188"/>
      <c r="I168" s="187"/>
      <c r="J168" s="187"/>
      <c r="K168" s="187"/>
      <c r="L168" s="187"/>
      <c r="M168" s="187"/>
      <c r="N168" s="187"/>
      <c r="O168" s="187"/>
      <c r="P168" s="187"/>
      <c r="Q168" s="187"/>
      <c r="R168" s="187"/>
      <c r="S168" s="186"/>
      <c r="T168" s="183"/>
      <c r="U168" s="186"/>
      <c r="V168" s="183"/>
      <c r="W168" s="184"/>
      <c r="X168" s="184"/>
      <c r="Y168" s="183"/>
      <c r="Z168" s="184"/>
      <c r="AA168" s="184"/>
      <c r="AB168" s="183"/>
      <c r="AC168" s="184"/>
      <c r="AD168" s="184"/>
      <c r="AE168" s="183"/>
      <c r="AF168" s="184"/>
      <c r="AG168" s="184"/>
      <c r="AH168" s="185"/>
      <c r="AI168" s="184"/>
      <c r="AJ168" s="184"/>
      <c r="AK168" s="183"/>
      <c r="AL168" s="184"/>
      <c r="AM168" s="184"/>
      <c r="AN168" s="183"/>
      <c r="AO168" s="184"/>
      <c r="AP168" s="184"/>
      <c r="AQ168" s="183"/>
      <c r="AR168" s="184"/>
      <c r="AS168" s="184"/>
      <c r="AT168" s="183"/>
      <c r="AU168" s="182"/>
      <c r="AV168" s="182"/>
      <c r="AW168" s="221">
        <f t="shared" si="71"/>
        <v>67.5</v>
      </c>
      <c r="AX168" s="290">
        <f t="shared" si="74"/>
        <v>57.514792899408278</v>
      </c>
      <c r="AY168" s="214">
        <f t="shared" si="77"/>
        <v>55.364898540405832</v>
      </c>
      <c r="AZ168" s="221">
        <f t="shared" si="79"/>
        <v>47.867036011080344</v>
      </c>
      <c r="BA168" s="214">
        <f t="shared" si="82"/>
        <v>43.199999999999996</v>
      </c>
      <c r="BB168" s="221">
        <f t="shared" si="89"/>
        <v>34.644687012697709</v>
      </c>
      <c r="BC168" s="271">
        <f t="shared" si="81"/>
        <v>32.665406427221171</v>
      </c>
      <c r="BD168" s="214">
        <f t="shared" ref="BD168:BD198" si="93" xml:space="preserve"> 30*(B168/B$167)^2</f>
        <v>30.851021622693906</v>
      </c>
      <c r="BE168" s="221">
        <f t="shared" si="84"/>
        <v>23.703703703703702</v>
      </c>
      <c r="BF168" s="214">
        <f t="shared" si="86"/>
        <v>21.525259515570934</v>
      </c>
      <c r="BG168" s="276">
        <f t="shared" si="87"/>
        <v>20.546967895362663</v>
      </c>
      <c r="BH168" s="221">
        <f t="shared" si="90"/>
        <v>18.780340538582298</v>
      </c>
      <c r="BI168" s="214">
        <f t="shared" si="92"/>
        <v>17.232132963988921</v>
      </c>
      <c r="BJ168" s="269">
        <f t="shared" si="69"/>
        <v>12.852892561983467</v>
      </c>
      <c r="BK168" s="221">
        <f t="shared" si="70"/>
        <v>11.759546313799625</v>
      </c>
      <c r="BL168" s="214">
        <f t="shared" si="72"/>
        <v>9.9532799999999995</v>
      </c>
      <c r="BM168" s="262">
        <f t="shared" si="75"/>
        <v>9.2023668639053238</v>
      </c>
      <c r="BN168" s="221">
        <f t="shared" si="76"/>
        <v>8.5333333333333332</v>
      </c>
      <c r="BO168" s="214">
        <f t="shared" si="78"/>
        <v>7.9346938775510223</v>
      </c>
      <c r="BP168" s="221">
        <f t="shared" si="80"/>
        <v>6.9119999999999999</v>
      </c>
      <c r="BQ168" s="214">
        <f t="shared" si="83"/>
        <v>6.4732570239334013</v>
      </c>
      <c r="BR168" s="251">
        <f t="shared" si="85"/>
        <v>5.7123966942148767</v>
      </c>
      <c r="BS168" s="221">
        <f t="shared" si="88"/>
        <v>5.3813148788927334</v>
      </c>
      <c r="BT168" s="181">
        <f t="shared" si="91"/>
        <v>5.078204081632653</v>
      </c>
      <c r="BU168" s="261"/>
      <c r="BV168" s="184"/>
      <c r="BW168" s="183"/>
      <c r="BX168" s="184"/>
      <c r="BY168" s="183"/>
      <c r="BZ168" s="184"/>
      <c r="CA168" s="183"/>
      <c r="CB168" s="184"/>
      <c r="CC168" s="183"/>
      <c r="CD168" s="184"/>
      <c r="CE168" s="183"/>
      <c r="CF168" s="184"/>
      <c r="CG168" s="183"/>
      <c r="CH168" s="184"/>
      <c r="CI168" s="183"/>
      <c r="CJ168" s="184"/>
      <c r="CK168" s="183"/>
      <c r="CL168" s="184"/>
      <c r="CM168" s="256"/>
    </row>
    <row r="169" spans="1:91" ht="10.5" customHeight="1" thickBot="1">
      <c r="A169" s="179" t="str">
        <f t="shared" si="67"/>
        <v/>
      </c>
      <c r="B169" s="190">
        <v>0.73</v>
      </c>
      <c r="C169" s="189"/>
      <c r="D169" s="189"/>
      <c r="E169" s="189"/>
      <c r="F169" s="189"/>
      <c r="G169" s="273"/>
      <c r="H169" s="188"/>
      <c r="I169" s="187"/>
      <c r="J169" s="187"/>
      <c r="K169" s="187"/>
      <c r="L169" s="187"/>
      <c r="M169" s="187"/>
      <c r="N169" s="187"/>
      <c r="O169" s="187"/>
      <c r="P169" s="187"/>
      <c r="Q169" s="187"/>
      <c r="R169" s="187"/>
      <c r="S169" s="186"/>
      <c r="T169" s="183"/>
      <c r="U169" s="186"/>
      <c r="V169" s="183"/>
      <c r="W169" s="184"/>
      <c r="X169" s="184"/>
      <c r="Y169" s="183"/>
      <c r="Z169" s="184"/>
      <c r="AA169" s="184"/>
      <c r="AB169" s="183"/>
      <c r="AC169" s="184"/>
      <c r="AD169" s="184"/>
      <c r="AE169" s="183"/>
      <c r="AF169" s="184"/>
      <c r="AG169" s="184"/>
      <c r="AH169" s="185"/>
      <c r="AI169" s="184"/>
      <c r="AJ169" s="184"/>
      <c r="AK169" s="183"/>
      <c r="AL169" s="184"/>
      <c r="AM169" s="184"/>
      <c r="AN169" s="183"/>
      <c r="AO169" s="184"/>
      <c r="AP169" s="184"/>
      <c r="AQ169" s="183"/>
      <c r="AR169" s="184"/>
      <c r="AS169" s="184"/>
      <c r="AT169" s="183"/>
      <c r="AU169" s="182"/>
      <c r="AV169" s="182"/>
      <c r="AW169" s="221">
        <f t="shared" si="71"/>
        <v>69.388020833333329</v>
      </c>
      <c r="AX169" s="291">
        <f t="shared" si="74"/>
        <v>59.123520710059161</v>
      </c>
      <c r="AY169" s="214">
        <f t="shared" si="77"/>
        <v>56.913492346030608</v>
      </c>
      <c r="AZ169" s="221">
        <f t="shared" si="79"/>
        <v>49.205909510618646</v>
      </c>
      <c r="BA169" s="214">
        <f t="shared" si="82"/>
        <v>44.408333333333339</v>
      </c>
      <c r="BB169" s="221">
        <f t="shared" si="89"/>
        <v>35.613722432613038</v>
      </c>
      <c r="BC169" s="181">
        <f t="shared" si="81"/>
        <v>33.579080025204789</v>
      </c>
      <c r="BD169" s="214">
        <f t="shared" si="93"/>
        <v>31.713945645705213</v>
      </c>
      <c r="BE169" s="221">
        <f t="shared" si="84"/>
        <v>24.366712391403745</v>
      </c>
      <c r="BF169" s="214">
        <f t="shared" si="86"/>
        <v>22.127335640138408</v>
      </c>
      <c r="BG169" s="279">
        <f t="shared" si="87"/>
        <v>21.121680539040824</v>
      </c>
      <c r="BH169" s="221">
        <f t="shared" si="90"/>
        <v>19.305639415529523</v>
      </c>
      <c r="BI169" s="214">
        <f t="shared" si="92"/>
        <v>17.714127423822717</v>
      </c>
      <c r="BJ169" s="272">
        <f t="shared" si="69"/>
        <v>13.212396694214874</v>
      </c>
      <c r="BK169" s="221">
        <f t="shared" si="70"/>
        <v>12.088468809073724</v>
      </c>
      <c r="BL169" s="214">
        <f t="shared" si="72"/>
        <v>10.231679999999999</v>
      </c>
      <c r="BM169" s="264">
        <f t="shared" si="75"/>
        <v>9.4597633136094679</v>
      </c>
      <c r="BN169" s="221">
        <f t="shared" si="76"/>
        <v>8.7720164609053501</v>
      </c>
      <c r="BO169" s="214">
        <f t="shared" si="78"/>
        <v>8.1566326530612248</v>
      </c>
      <c r="BP169" s="221">
        <f t="shared" si="80"/>
        <v>7.1053333333333324</v>
      </c>
      <c r="BQ169" s="214">
        <f t="shared" si="83"/>
        <v>6.6543184183142561</v>
      </c>
      <c r="BR169" s="252">
        <f t="shared" si="85"/>
        <v>5.8721763085399452</v>
      </c>
      <c r="BS169" s="221">
        <f t="shared" si="88"/>
        <v>5.5318339100346021</v>
      </c>
      <c r="BT169" s="181">
        <f t="shared" si="91"/>
        <v>5.2202448979591836</v>
      </c>
      <c r="BU169" s="261"/>
      <c r="BV169" s="184"/>
      <c r="BW169" s="183"/>
      <c r="BX169" s="184"/>
      <c r="BY169" s="183"/>
      <c r="BZ169" s="184"/>
      <c r="CA169" s="183"/>
      <c r="CB169" s="184"/>
      <c r="CC169" s="183"/>
      <c r="CD169" s="184"/>
      <c r="CE169" s="183"/>
      <c r="CF169" s="184"/>
      <c r="CG169" s="183"/>
      <c r="CH169" s="184"/>
      <c r="CI169" s="183"/>
      <c r="CJ169" s="184"/>
      <c r="CK169" s="183"/>
      <c r="CL169" s="184"/>
      <c r="CM169" s="256"/>
    </row>
    <row r="170" spans="1:91" ht="10.5" customHeight="1" thickBot="1">
      <c r="A170" s="179" t="str">
        <f t="shared" si="67"/>
        <v/>
      </c>
      <c r="B170" s="213">
        <v>0.74</v>
      </c>
      <c r="C170" s="212"/>
      <c r="D170" s="212"/>
      <c r="E170" s="212"/>
      <c r="F170" s="212"/>
      <c r="G170" s="270"/>
      <c r="H170" s="211"/>
      <c r="I170" s="210"/>
      <c r="J170" s="210"/>
      <c r="K170" s="210"/>
      <c r="L170" s="210"/>
      <c r="M170" s="210"/>
      <c r="N170" s="210"/>
      <c r="O170" s="210"/>
      <c r="P170" s="210"/>
      <c r="Q170" s="210"/>
      <c r="R170" s="210"/>
      <c r="S170" s="209"/>
      <c r="T170" s="207"/>
      <c r="U170" s="209"/>
      <c r="V170" s="207"/>
      <c r="W170" s="206"/>
      <c r="X170" s="206"/>
      <c r="Y170" s="207"/>
      <c r="Z170" s="206"/>
      <c r="AA170" s="206"/>
      <c r="AB170" s="207"/>
      <c r="AC170" s="206"/>
      <c r="AD170" s="206"/>
      <c r="AE170" s="207"/>
      <c r="AF170" s="206"/>
      <c r="AG170" s="206"/>
      <c r="AH170" s="208"/>
      <c r="AI170" s="206"/>
      <c r="AJ170" s="206"/>
      <c r="AK170" s="207"/>
      <c r="AL170" s="206"/>
      <c r="AM170" s="206"/>
      <c r="AN170" s="207"/>
      <c r="AO170" s="206"/>
      <c r="AP170" s="206"/>
      <c r="AQ170" s="207"/>
      <c r="AR170" s="206"/>
      <c r="AS170" s="206"/>
      <c r="AT170" s="207"/>
      <c r="AU170" s="226"/>
      <c r="AV170" s="226"/>
      <c r="AW170" s="236">
        <f t="shared" si="71"/>
        <v>71.302083333333329</v>
      </c>
      <c r="AX170" s="290">
        <f t="shared" si="74"/>
        <v>60.754437869822468</v>
      </c>
      <c r="AY170" s="219">
        <f t="shared" si="77"/>
        <v>58.483446066215727</v>
      </c>
      <c r="AZ170" s="225">
        <f t="shared" si="79"/>
        <v>50.563250230840261</v>
      </c>
      <c r="BA170" s="219">
        <f t="shared" si="82"/>
        <v>45.63333333333334</v>
      </c>
      <c r="BB170" s="225">
        <f t="shared" si="89"/>
        <v>36.596123858320325</v>
      </c>
      <c r="BC170" s="271">
        <f t="shared" si="81"/>
        <v>34.505356017643358</v>
      </c>
      <c r="BD170" s="219">
        <f t="shared" si="93"/>
        <v>32.588772069033922</v>
      </c>
      <c r="BE170" s="225">
        <f t="shared" si="84"/>
        <v>25.038866026520342</v>
      </c>
      <c r="BF170" s="219">
        <f t="shared" si="86"/>
        <v>22.737716262975777</v>
      </c>
      <c r="BG170" s="276">
        <f t="shared" si="87"/>
        <v>21.704320253666268</v>
      </c>
      <c r="BH170" s="225">
        <f t="shared" si="90"/>
        <v>19.838183794227749</v>
      </c>
      <c r="BI170" s="219">
        <f t="shared" si="92"/>
        <v>18.202770083102493</v>
      </c>
      <c r="BJ170" s="269">
        <f t="shared" si="69"/>
        <v>13.576859504132226</v>
      </c>
      <c r="BK170" s="225">
        <f t="shared" si="70"/>
        <v>12.421928166351609</v>
      </c>
      <c r="BL170" s="219">
        <f t="shared" si="72"/>
        <v>10.513919999999999</v>
      </c>
      <c r="BM170" s="262">
        <f t="shared" si="75"/>
        <v>9.7207100591715978</v>
      </c>
      <c r="BN170" s="225">
        <f t="shared" si="76"/>
        <v>9.0139917695473226</v>
      </c>
      <c r="BO170" s="219">
        <f t="shared" si="78"/>
        <v>8.3816326530612244</v>
      </c>
      <c r="BP170" s="225">
        <f t="shared" si="80"/>
        <v>7.3013333333333339</v>
      </c>
      <c r="BQ170" s="219">
        <f t="shared" si="83"/>
        <v>6.8378772112382942</v>
      </c>
      <c r="BR170" s="251">
        <f t="shared" si="85"/>
        <v>6.0341597796143249</v>
      </c>
      <c r="BS170" s="225">
        <f t="shared" si="88"/>
        <v>5.6844290657439442</v>
      </c>
      <c r="BT170" s="203">
        <f t="shared" si="91"/>
        <v>5.3642448979591837</v>
      </c>
      <c r="BU170" s="268"/>
      <c r="BV170" s="206"/>
      <c r="BW170" s="207"/>
      <c r="BX170" s="206"/>
      <c r="BY170" s="207"/>
      <c r="BZ170" s="206"/>
      <c r="CA170" s="207"/>
      <c r="CB170" s="206"/>
      <c r="CC170" s="207"/>
      <c r="CD170" s="206"/>
      <c r="CE170" s="207"/>
      <c r="CF170" s="206"/>
      <c r="CG170" s="207"/>
      <c r="CH170" s="206"/>
      <c r="CI170" s="207"/>
      <c r="CJ170" s="206"/>
      <c r="CK170" s="207"/>
      <c r="CL170" s="206"/>
      <c r="CM170" s="254"/>
    </row>
    <row r="171" spans="1:91" ht="10.5" customHeight="1" thickBot="1">
      <c r="A171" s="179" t="str">
        <f t="shared" si="67"/>
        <v/>
      </c>
      <c r="B171" s="201">
        <v>0.75</v>
      </c>
      <c r="C171" s="200"/>
      <c r="D171" s="200"/>
      <c r="E171" s="200"/>
      <c r="F171" s="200"/>
      <c r="G171" s="267"/>
      <c r="H171" s="199"/>
      <c r="I171" s="198"/>
      <c r="J171" s="198"/>
      <c r="K171" s="198"/>
      <c r="L171" s="198"/>
      <c r="M171" s="198"/>
      <c r="N171" s="198"/>
      <c r="O171" s="198"/>
      <c r="P171" s="198"/>
      <c r="Q171" s="198"/>
      <c r="R171" s="198"/>
      <c r="S171" s="197"/>
      <c r="T171" s="194"/>
      <c r="U171" s="197"/>
      <c r="V171" s="194"/>
      <c r="W171" s="195"/>
      <c r="X171" s="195"/>
      <c r="Y171" s="194"/>
      <c r="Z171" s="195"/>
      <c r="AA171" s="195"/>
      <c r="AB171" s="194"/>
      <c r="AC171" s="195"/>
      <c r="AD171" s="195"/>
      <c r="AE171" s="194"/>
      <c r="AF171" s="195"/>
      <c r="AG171" s="195"/>
      <c r="AH171" s="196"/>
      <c r="AI171" s="195"/>
      <c r="AJ171" s="195"/>
      <c r="AK171" s="194"/>
      <c r="AL171" s="195"/>
      <c r="AM171" s="195"/>
      <c r="AN171" s="194"/>
      <c r="AO171" s="195"/>
      <c r="AP171" s="195"/>
      <c r="AQ171" s="194"/>
      <c r="AR171" s="195"/>
      <c r="AS171" s="195"/>
      <c r="AT171" s="194"/>
      <c r="AU171" s="224"/>
      <c r="AV171" s="224"/>
      <c r="AW171" s="218"/>
      <c r="AX171" s="291">
        <f t="shared" si="74"/>
        <v>62.407544378698219</v>
      </c>
      <c r="AY171" s="217">
        <f t="shared" si="77"/>
        <v>60.074759700961181</v>
      </c>
      <c r="AZ171" s="223">
        <f t="shared" si="79"/>
        <v>51.93905817174516</v>
      </c>
      <c r="BA171" s="217">
        <f t="shared" si="82"/>
        <v>46.875</v>
      </c>
      <c r="BB171" s="223">
        <f t="shared" si="89"/>
        <v>37.59189128981955</v>
      </c>
      <c r="BC171" s="181">
        <f t="shared" si="81"/>
        <v>35.444234404536871</v>
      </c>
      <c r="BD171" s="217">
        <f t="shared" si="93"/>
        <v>33.475500892680031</v>
      </c>
      <c r="BE171" s="223">
        <f t="shared" si="84"/>
        <v>25.720164609053494</v>
      </c>
      <c r="BF171" s="217">
        <f t="shared" si="86"/>
        <v>23.356401384083043</v>
      </c>
      <c r="BG171" s="279">
        <f t="shared" si="87"/>
        <v>22.294887039239004</v>
      </c>
      <c r="BH171" s="223">
        <f t="shared" si="90"/>
        <v>20.377973674676969</v>
      </c>
      <c r="BI171" s="217">
        <f t="shared" si="92"/>
        <v>18.698060941828256</v>
      </c>
      <c r="BJ171" s="272">
        <f t="shared" si="69"/>
        <v>13.946280991735536</v>
      </c>
      <c r="BK171" s="223">
        <f t="shared" si="70"/>
        <v>12.759924385633271</v>
      </c>
      <c r="BL171" s="217">
        <f t="shared" si="72"/>
        <v>10.799999999999999</v>
      </c>
      <c r="BM171" s="264">
        <f t="shared" si="75"/>
        <v>9.9852071005917136</v>
      </c>
      <c r="BN171" s="223">
        <f t="shared" si="76"/>
        <v>9.2592592592592577</v>
      </c>
      <c r="BO171" s="217">
        <f t="shared" si="78"/>
        <v>8.6096938775510203</v>
      </c>
      <c r="BP171" s="223">
        <f t="shared" si="80"/>
        <v>7.5</v>
      </c>
      <c r="BQ171" s="217">
        <f t="shared" si="83"/>
        <v>7.0239334027055138</v>
      </c>
      <c r="BR171" s="252">
        <f t="shared" si="85"/>
        <v>6.1983471074380176</v>
      </c>
      <c r="BS171" s="223">
        <f t="shared" si="88"/>
        <v>5.8391003460207607</v>
      </c>
      <c r="BT171" s="192">
        <f t="shared" si="91"/>
        <v>5.5102040816326525</v>
      </c>
      <c r="BU171" s="263"/>
      <c r="BV171" s="195"/>
      <c r="BW171" s="194"/>
      <c r="BX171" s="195"/>
      <c r="BY171" s="194"/>
      <c r="BZ171" s="195"/>
      <c r="CA171" s="194"/>
      <c r="CB171" s="195"/>
      <c r="CC171" s="194"/>
      <c r="CD171" s="195"/>
      <c r="CE171" s="194"/>
      <c r="CF171" s="195"/>
      <c r="CG171" s="194"/>
      <c r="CH171" s="195"/>
      <c r="CI171" s="194"/>
      <c r="CJ171" s="195"/>
      <c r="CK171" s="194"/>
      <c r="CL171" s="195"/>
      <c r="CM171" s="258"/>
    </row>
    <row r="172" spans="1:91" ht="10.5" customHeight="1">
      <c r="A172" s="179" t="str">
        <f t="shared" si="67"/>
        <v/>
      </c>
      <c r="B172" s="190">
        <v>0.76</v>
      </c>
      <c r="C172" s="189"/>
      <c r="D172" s="189"/>
      <c r="E172" s="189"/>
      <c r="F172" s="189"/>
      <c r="G172" s="273"/>
      <c r="H172" s="188"/>
      <c r="I172" s="187"/>
      <c r="J172" s="187"/>
      <c r="K172" s="187"/>
      <c r="L172" s="187"/>
      <c r="M172" s="187"/>
      <c r="N172" s="187"/>
      <c r="O172" s="187"/>
      <c r="P172" s="187"/>
      <c r="Q172" s="187"/>
      <c r="R172" s="187"/>
      <c r="S172" s="186"/>
      <c r="T172" s="183"/>
      <c r="U172" s="186"/>
      <c r="V172" s="183"/>
      <c r="W172" s="184"/>
      <c r="X172" s="184"/>
      <c r="Y172" s="183"/>
      <c r="Z172" s="184"/>
      <c r="AA172" s="184"/>
      <c r="AB172" s="183"/>
      <c r="AC172" s="184"/>
      <c r="AD172" s="184"/>
      <c r="AE172" s="183"/>
      <c r="AF172" s="184"/>
      <c r="AG172" s="184"/>
      <c r="AH172" s="185"/>
      <c r="AI172" s="184"/>
      <c r="AJ172" s="184"/>
      <c r="AK172" s="183"/>
      <c r="AL172" s="184"/>
      <c r="AM172" s="184"/>
      <c r="AN172" s="183"/>
      <c r="AO172" s="184"/>
      <c r="AP172" s="184"/>
      <c r="AQ172" s="183"/>
      <c r="AR172" s="184"/>
      <c r="AS172" s="184"/>
      <c r="AT172" s="183"/>
      <c r="AU172" s="184"/>
      <c r="AV172" s="182"/>
      <c r="AW172" s="215"/>
      <c r="AX172" s="290">
        <f t="shared" si="74"/>
        <v>64.08284023668638</v>
      </c>
      <c r="AY172" s="214">
        <f t="shared" si="77"/>
        <v>61.687433250266992</v>
      </c>
      <c r="AZ172" s="221">
        <f t="shared" si="79"/>
        <v>53.333333333333343</v>
      </c>
      <c r="BA172" s="214">
        <f t="shared" si="82"/>
        <v>48.13333333333334</v>
      </c>
      <c r="BB172" s="221">
        <f t="shared" si="89"/>
        <v>38.601024727110712</v>
      </c>
      <c r="BC172" s="271">
        <f t="shared" si="81"/>
        <v>36.395715185885315</v>
      </c>
      <c r="BD172" s="214">
        <f t="shared" si="93"/>
        <v>34.37413211664353</v>
      </c>
      <c r="BE172" s="221">
        <f t="shared" si="84"/>
        <v>26.410608139003198</v>
      </c>
      <c r="BF172" s="214">
        <f t="shared" si="86"/>
        <v>23.983391003460209</v>
      </c>
      <c r="BG172" s="276">
        <f t="shared" si="87"/>
        <v>22.893380895759019</v>
      </c>
      <c r="BH172" s="221">
        <f t="shared" si="90"/>
        <v>20.92500905687719</v>
      </c>
      <c r="BI172" s="214">
        <f t="shared" si="92"/>
        <v>19.200000000000003</v>
      </c>
      <c r="BJ172" s="269">
        <f t="shared" ref="BJ172:BJ203" si="94" xml:space="preserve"> 30*(B172/B$198)^2</f>
        <v>14.320661157024791</v>
      </c>
      <c r="BK172" s="221">
        <f t="shared" si="70"/>
        <v>13.102457466918716</v>
      </c>
      <c r="BL172" s="214">
        <f t="shared" si="72"/>
        <v>11.089919999999999</v>
      </c>
      <c r="BM172" s="262">
        <f t="shared" si="75"/>
        <v>10.253254437869824</v>
      </c>
      <c r="BN172" s="221">
        <f t="shared" si="76"/>
        <v>9.5078189300411502</v>
      </c>
      <c r="BO172" s="214">
        <f t="shared" si="78"/>
        <v>8.8408163265306143</v>
      </c>
      <c r="BP172" s="221">
        <f t="shared" si="80"/>
        <v>7.7013333333333351</v>
      </c>
      <c r="BQ172" s="214">
        <f t="shared" si="83"/>
        <v>7.2124869927159203</v>
      </c>
      <c r="BR172" s="251">
        <f t="shared" si="85"/>
        <v>6.3647382920110198</v>
      </c>
      <c r="BS172" s="221">
        <f t="shared" si="88"/>
        <v>5.9958477508650523</v>
      </c>
      <c r="BT172" s="181">
        <f t="shared" si="91"/>
        <v>5.6581224489795918</v>
      </c>
      <c r="BU172" s="261"/>
      <c r="BV172" s="184"/>
      <c r="BW172" s="183"/>
      <c r="BX172" s="184"/>
      <c r="BY172" s="183"/>
      <c r="BZ172" s="184"/>
      <c r="CA172" s="183"/>
      <c r="CB172" s="184"/>
      <c r="CC172" s="183"/>
      <c r="CD172" s="184"/>
      <c r="CE172" s="183"/>
      <c r="CF172" s="184"/>
      <c r="CG172" s="183"/>
      <c r="CH172" s="184"/>
      <c r="CI172" s="183"/>
      <c r="CJ172" s="184"/>
      <c r="CK172" s="183"/>
      <c r="CL172" s="184"/>
      <c r="CM172" s="256"/>
    </row>
    <row r="173" spans="1:91" ht="10.5" customHeight="1" thickBot="1">
      <c r="A173" s="179" t="str">
        <f t="shared" si="67"/>
        <v/>
      </c>
      <c r="B173" s="190">
        <v>0.77</v>
      </c>
      <c r="C173" s="189"/>
      <c r="D173" s="189"/>
      <c r="E173" s="189"/>
      <c r="F173" s="189"/>
      <c r="G173" s="273"/>
      <c r="H173" s="188"/>
      <c r="I173" s="187"/>
      <c r="J173" s="187"/>
      <c r="K173" s="187"/>
      <c r="L173" s="187"/>
      <c r="M173" s="187"/>
      <c r="N173" s="187"/>
      <c r="O173" s="187"/>
      <c r="P173" s="187"/>
      <c r="Q173" s="187"/>
      <c r="R173" s="187"/>
      <c r="S173" s="186"/>
      <c r="T173" s="183"/>
      <c r="U173" s="186"/>
      <c r="V173" s="183"/>
      <c r="W173" s="184"/>
      <c r="X173" s="184"/>
      <c r="Y173" s="183"/>
      <c r="Z173" s="184"/>
      <c r="AA173" s="184"/>
      <c r="AB173" s="183"/>
      <c r="AC173" s="184"/>
      <c r="AD173" s="184"/>
      <c r="AE173" s="183"/>
      <c r="AF173" s="184"/>
      <c r="AG173" s="184"/>
      <c r="AH173" s="185"/>
      <c r="AI173" s="184"/>
      <c r="AJ173" s="184"/>
      <c r="AK173" s="183"/>
      <c r="AL173" s="184"/>
      <c r="AM173" s="184"/>
      <c r="AN173" s="183"/>
      <c r="AO173" s="184"/>
      <c r="AP173" s="184"/>
      <c r="AQ173" s="183"/>
      <c r="AR173" s="184"/>
      <c r="AS173" s="184"/>
      <c r="AT173" s="183"/>
      <c r="AU173" s="184"/>
      <c r="AV173" s="182"/>
      <c r="AW173" s="215"/>
      <c r="AX173" s="291">
        <f t="shared" si="74"/>
        <v>65.780325443786992</v>
      </c>
      <c r="AY173" s="214">
        <f t="shared" si="77"/>
        <v>63.321466714133138</v>
      </c>
      <c r="AZ173" s="221">
        <f t="shared" si="79"/>
        <v>54.746075715604817</v>
      </c>
      <c r="BA173" s="214">
        <f t="shared" si="82"/>
        <v>49.408333333333346</v>
      </c>
      <c r="BB173" s="221">
        <f t="shared" si="89"/>
        <v>39.623524170193811</v>
      </c>
      <c r="BC173" s="181">
        <f t="shared" si="81"/>
        <v>37.359798361688725</v>
      </c>
      <c r="BD173" s="214">
        <f t="shared" si="93"/>
        <v>35.284665740924424</v>
      </c>
      <c r="BE173" s="221">
        <f t="shared" si="84"/>
        <v>27.110196616369457</v>
      </c>
      <c r="BF173" s="214">
        <f t="shared" si="86"/>
        <v>24.618685121107266</v>
      </c>
      <c r="BG173" s="279">
        <f t="shared" si="87"/>
        <v>23.499801823226317</v>
      </c>
      <c r="BH173" s="221">
        <f t="shared" si="90"/>
        <v>21.479289940828401</v>
      </c>
      <c r="BI173" s="214">
        <f t="shared" si="92"/>
        <v>19.708587257617733</v>
      </c>
      <c r="BJ173" s="272">
        <f t="shared" si="94"/>
        <v>14.699999999999998</v>
      </c>
      <c r="BK173" s="221">
        <f t="shared" ref="BK173:BK198" si="95" xml:space="preserve"> 30*(B173/B$199)^2</f>
        <v>13.44952741020794</v>
      </c>
      <c r="BL173" s="214">
        <f t="shared" si="72"/>
        <v>11.38368</v>
      </c>
      <c r="BM173" s="264">
        <f t="shared" si="75"/>
        <v>10.524852071005917</v>
      </c>
      <c r="BN173" s="221">
        <f t="shared" si="76"/>
        <v>9.7596707818930017</v>
      </c>
      <c r="BO173" s="214">
        <f t="shared" si="78"/>
        <v>9.0750000000000011</v>
      </c>
      <c r="BP173" s="221">
        <f t="shared" si="80"/>
        <v>7.9053333333333322</v>
      </c>
      <c r="BQ173" s="214">
        <f t="shared" si="83"/>
        <v>7.403537981269511</v>
      </c>
      <c r="BR173" s="252">
        <f t="shared" si="85"/>
        <v>6.533333333333335</v>
      </c>
      <c r="BS173" s="221">
        <f t="shared" si="88"/>
        <v>6.1546712802768164</v>
      </c>
      <c r="BT173" s="181">
        <f t="shared" si="91"/>
        <v>5.8079999999999998</v>
      </c>
      <c r="BU173" s="261"/>
      <c r="BV173" s="184"/>
      <c r="BW173" s="183"/>
      <c r="BX173" s="184"/>
      <c r="BY173" s="183"/>
      <c r="BZ173" s="184"/>
      <c r="CA173" s="183"/>
      <c r="CB173" s="184"/>
      <c r="CC173" s="183"/>
      <c r="CD173" s="184"/>
      <c r="CE173" s="183"/>
      <c r="CF173" s="184"/>
      <c r="CG173" s="183"/>
      <c r="CH173" s="184"/>
      <c r="CI173" s="183"/>
      <c r="CJ173" s="184"/>
      <c r="CK173" s="183"/>
      <c r="CL173" s="184"/>
      <c r="CM173" s="256"/>
    </row>
    <row r="174" spans="1:91" ht="10.5" customHeight="1">
      <c r="A174" s="179" t="str">
        <f t="shared" si="67"/>
        <v/>
      </c>
      <c r="B174" s="213">
        <v>0.78</v>
      </c>
      <c r="C174" s="212"/>
      <c r="D174" s="212"/>
      <c r="E174" s="212"/>
      <c r="F174" s="212"/>
      <c r="G174" s="270"/>
      <c r="H174" s="211"/>
      <c r="I174" s="210"/>
      <c r="J174" s="210"/>
      <c r="K174" s="210"/>
      <c r="L174" s="210"/>
      <c r="M174" s="210"/>
      <c r="N174" s="210"/>
      <c r="O174" s="210"/>
      <c r="P174" s="210"/>
      <c r="Q174" s="210"/>
      <c r="R174" s="210"/>
      <c r="S174" s="209"/>
      <c r="T174" s="207"/>
      <c r="U174" s="209"/>
      <c r="V174" s="207"/>
      <c r="W174" s="206"/>
      <c r="X174" s="206"/>
      <c r="Y174" s="207"/>
      <c r="Z174" s="206"/>
      <c r="AA174" s="206"/>
      <c r="AB174" s="207"/>
      <c r="AC174" s="206"/>
      <c r="AD174" s="206"/>
      <c r="AE174" s="207"/>
      <c r="AF174" s="206"/>
      <c r="AG174" s="206"/>
      <c r="AH174" s="208"/>
      <c r="AI174" s="206"/>
      <c r="AJ174" s="206"/>
      <c r="AK174" s="207"/>
      <c r="AL174" s="206"/>
      <c r="AM174" s="206"/>
      <c r="AN174" s="207"/>
      <c r="AO174" s="206"/>
      <c r="AP174" s="206"/>
      <c r="AQ174" s="207"/>
      <c r="AR174" s="206"/>
      <c r="AS174" s="206"/>
      <c r="AT174" s="207"/>
      <c r="AU174" s="206"/>
      <c r="AV174" s="226"/>
      <c r="AW174" s="205"/>
      <c r="AX174" s="290">
        <f t="shared" si="74"/>
        <v>67.5</v>
      </c>
      <c r="AY174" s="219">
        <f t="shared" si="77"/>
        <v>64.976860092559619</v>
      </c>
      <c r="AZ174" s="225">
        <f t="shared" si="79"/>
        <v>56.177285318559584</v>
      </c>
      <c r="BA174" s="219">
        <f t="shared" si="82"/>
        <v>50.7</v>
      </c>
      <c r="BB174" s="225">
        <f t="shared" si="89"/>
        <v>40.65938961906884</v>
      </c>
      <c r="BC174" s="271">
        <f t="shared" si="81"/>
        <v>38.336483931947079</v>
      </c>
      <c r="BD174" s="219">
        <f t="shared" si="93"/>
        <v>36.207101765522715</v>
      </c>
      <c r="BE174" s="225">
        <f t="shared" si="84"/>
        <v>27.81893004115226</v>
      </c>
      <c r="BF174" s="219">
        <f t="shared" si="86"/>
        <v>25.262283737024227</v>
      </c>
      <c r="BG174" s="276">
        <f t="shared" si="87"/>
        <v>24.114149821640904</v>
      </c>
      <c r="BH174" s="225">
        <f t="shared" si="90"/>
        <v>22.04081632653061</v>
      </c>
      <c r="BI174" s="219">
        <f t="shared" si="92"/>
        <v>20.223822714681447</v>
      </c>
      <c r="BJ174" s="269">
        <f t="shared" si="94"/>
        <v>15.084297520661158</v>
      </c>
      <c r="BK174" s="225">
        <f t="shared" si="95"/>
        <v>13.801134215500948</v>
      </c>
      <c r="BL174" s="219">
        <f t="shared" si="72"/>
        <v>11.681279999999999</v>
      </c>
      <c r="BM174" s="262">
        <f t="shared" si="75"/>
        <v>10.799999999999999</v>
      </c>
      <c r="BN174" s="225">
        <f t="shared" si="76"/>
        <v>10.014814814814812</v>
      </c>
      <c r="BO174" s="219">
        <f t="shared" si="78"/>
        <v>9.3122448979591841</v>
      </c>
      <c r="BP174" s="225">
        <f t="shared" si="80"/>
        <v>8.1120000000000001</v>
      </c>
      <c r="BQ174" s="219">
        <f t="shared" si="83"/>
        <v>7.5970863683662833</v>
      </c>
      <c r="BR174" s="251">
        <f t="shared" si="85"/>
        <v>6.7041322314049605</v>
      </c>
      <c r="BS174" s="225">
        <f t="shared" si="88"/>
        <v>6.3155709342560566</v>
      </c>
      <c r="BT174" s="203">
        <f t="shared" si="91"/>
        <v>5.9598367346938774</v>
      </c>
      <c r="BU174" s="268"/>
      <c r="BV174" s="206"/>
      <c r="BW174" s="207"/>
      <c r="BX174" s="206"/>
      <c r="BY174" s="207"/>
      <c r="BZ174" s="206"/>
      <c r="CA174" s="207"/>
      <c r="CB174" s="206"/>
      <c r="CC174" s="207"/>
      <c r="CD174" s="206"/>
      <c r="CE174" s="207"/>
      <c r="CF174" s="206"/>
      <c r="CG174" s="207"/>
      <c r="CH174" s="206"/>
      <c r="CI174" s="207"/>
      <c r="CJ174" s="206"/>
      <c r="CK174" s="207"/>
      <c r="CL174" s="206"/>
      <c r="CM174" s="254"/>
    </row>
    <row r="175" spans="1:91" ht="10.5" customHeight="1" thickBot="1">
      <c r="A175" s="179" t="str">
        <f t="shared" si="67"/>
        <v/>
      </c>
      <c r="B175" s="201">
        <v>0.79</v>
      </c>
      <c r="C175" s="200"/>
      <c r="D175" s="200"/>
      <c r="E175" s="200"/>
      <c r="F175" s="200"/>
      <c r="G175" s="267"/>
      <c r="H175" s="199"/>
      <c r="I175" s="198"/>
      <c r="J175" s="198"/>
      <c r="K175" s="198"/>
      <c r="L175" s="198"/>
      <c r="M175" s="198"/>
      <c r="N175" s="198"/>
      <c r="O175" s="198"/>
      <c r="P175" s="198"/>
      <c r="Q175" s="198"/>
      <c r="R175" s="198"/>
      <c r="S175" s="197"/>
      <c r="T175" s="194"/>
      <c r="U175" s="197"/>
      <c r="V175" s="194"/>
      <c r="W175" s="195"/>
      <c r="X175" s="195"/>
      <c r="Y175" s="194"/>
      <c r="Z175" s="195"/>
      <c r="AA175" s="195"/>
      <c r="AB175" s="194"/>
      <c r="AC175" s="195"/>
      <c r="AD175" s="195"/>
      <c r="AE175" s="194"/>
      <c r="AF175" s="195"/>
      <c r="AG175" s="195"/>
      <c r="AH175" s="196"/>
      <c r="AI175" s="195"/>
      <c r="AJ175" s="195"/>
      <c r="AK175" s="194"/>
      <c r="AL175" s="195"/>
      <c r="AM175" s="195"/>
      <c r="AN175" s="194"/>
      <c r="AO175" s="195"/>
      <c r="AP175" s="195"/>
      <c r="AQ175" s="194"/>
      <c r="AR175" s="195"/>
      <c r="AS175" s="195"/>
      <c r="AT175" s="194"/>
      <c r="AU175" s="195"/>
      <c r="AV175" s="224"/>
      <c r="AW175" s="228"/>
      <c r="AX175" s="289">
        <f t="shared" si="74"/>
        <v>69.241863905325431</v>
      </c>
      <c r="AY175" s="217">
        <f t="shared" si="77"/>
        <v>66.653613385546436</v>
      </c>
      <c r="AZ175" s="223">
        <f t="shared" si="79"/>
        <v>57.626962142197605</v>
      </c>
      <c r="BA175" s="217">
        <f t="shared" si="82"/>
        <v>52.008333333333347</v>
      </c>
      <c r="BB175" s="223">
        <f t="shared" si="89"/>
        <v>41.708621073735806</v>
      </c>
      <c r="BC175" s="181">
        <f t="shared" si="81"/>
        <v>39.325771896660385</v>
      </c>
      <c r="BD175" s="217">
        <f t="shared" si="93"/>
        <v>37.141440190438416</v>
      </c>
      <c r="BE175" s="223">
        <f t="shared" si="84"/>
        <v>28.536808413351622</v>
      </c>
      <c r="BF175" s="217">
        <f t="shared" si="86"/>
        <v>25.914186851211074</v>
      </c>
      <c r="BG175" s="279">
        <f t="shared" si="87"/>
        <v>24.736424891002777</v>
      </c>
      <c r="BH175" s="223">
        <f t="shared" si="90"/>
        <v>22.60958821398382</v>
      </c>
      <c r="BI175" s="217">
        <f t="shared" si="92"/>
        <v>20.745706371191137</v>
      </c>
      <c r="BJ175" s="272">
        <f t="shared" si="94"/>
        <v>15.473553719008263</v>
      </c>
      <c r="BK175" s="223">
        <f t="shared" si="95"/>
        <v>14.157277882797734</v>
      </c>
      <c r="BL175" s="217">
        <f t="shared" si="72"/>
        <v>11.98272</v>
      </c>
      <c r="BM175" s="264">
        <f t="shared" si="75"/>
        <v>11.078698224852074</v>
      </c>
      <c r="BN175" s="223">
        <f t="shared" si="76"/>
        <v>10.273251028806582</v>
      </c>
      <c r="BO175" s="217">
        <f t="shared" si="78"/>
        <v>9.5525510204081669</v>
      </c>
      <c r="BP175" s="223">
        <f t="shared" si="80"/>
        <v>8.3213333333333352</v>
      </c>
      <c r="BQ175" s="217">
        <f t="shared" si="83"/>
        <v>7.7931321540062424</v>
      </c>
      <c r="BR175" s="252">
        <f t="shared" si="85"/>
        <v>6.8771349862258964</v>
      </c>
      <c r="BS175" s="223">
        <f t="shared" si="88"/>
        <v>6.4785467128027685</v>
      </c>
      <c r="BT175" s="192">
        <f t="shared" si="91"/>
        <v>6.1136326530612255</v>
      </c>
      <c r="BU175" s="261"/>
      <c r="BV175" s="195"/>
      <c r="BW175" s="194"/>
      <c r="BX175" s="195"/>
      <c r="BY175" s="194"/>
      <c r="BZ175" s="195"/>
      <c r="CA175" s="194"/>
      <c r="CB175" s="195"/>
      <c r="CC175" s="194"/>
      <c r="CD175" s="195"/>
      <c r="CE175" s="194"/>
      <c r="CF175" s="195"/>
      <c r="CG175" s="194"/>
      <c r="CH175" s="195"/>
      <c r="CI175" s="194"/>
      <c r="CJ175" s="195"/>
      <c r="CK175" s="194"/>
      <c r="CL175" s="195"/>
      <c r="CM175" s="258"/>
    </row>
    <row r="176" spans="1:91" ht="10.5" customHeight="1">
      <c r="A176" s="179" t="str">
        <f t="shared" si="67"/>
        <v/>
      </c>
      <c r="B176" s="190">
        <v>0.8</v>
      </c>
      <c r="C176" s="189"/>
      <c r="D176" s="189"/>
      <c r="E176" s="189"/>
      <c r="F176" s="189"/>
      <c r="G176" s="273"/>
      <c r="H176" s="188"/>
      <c r="I176" s="187"/>
      <c r="J176" s="187"/>
      <c r="K176" s="187"/>
      <c r="L176" s="187"/>
      <c r="M176" s="187"/>
      <c r="N176" s="187"/>
      <c r="O176" s="187"/>
      <c r="P176" s="187"/>
      <c r="Q176" s="187"/>
      <c r="R176" s="187"/>
      <c r="S176" s="186"/>
      <c r="T176" s="183"/>
      <c r="U176" s="186"/>
      <c r="V176" s="183"/>
      <c r="W176" s="184"/>
      <c r="X176" s="184"/>
      <c r="Y176" s="183"/>
      <c r="Z176" s="184"/>
      <c r="AA176" s="184"/>
      <c r="AB176" s="183"/>
      <c r="AC176" s="184"/>
      <c r="AD176" s="184"/>
      <c r="AE176" s="183"/>
      <c r="AF176" s="184"/>
      <c r="AG176" s="184"/>
      <c r="AH176" s="185"/>
      <c r="AI176" s="184"/>
      <c r="AJ176" s="184"/>
      <c r="AK176" s="183"/>
      <c r="AL176" s="184"/>
      <c r="AM176" s="184"/>
      <c r="AN176" s="183"/>
      <c r="AO176" s="184"/>
      <c r="AP176" s="184"/>
      <c r="AQ176" s="183"/>
      <c r="AR176" s="184"/>
      <c r="AS176" s="184"/>
      <c r="AT176" s="183"/>
      <c r="AU176" s="184"/>
      <c r="AV176" s="182"/>
      <c r="AW176" s="215"/>
      <c r="AX176" s="288"/>
      <c r="AY176" s="214">
        <f t="shared" si="77"/>
        <v>68.35172659309363</v>
      </c>
      <c r="AZ176" s="221">
        <f t="shared" si="79"/>
        <v>59.095106186518947</v>
      </c>
      <c r="BA176" s="214">
        <f t="shared" si="82"/>
        <v>53.333333333333343</v>
      </c>
      <c r="BB176" s="221">
        <f t="shared" si="89"/>
        <v>42.771218534194695</v>
      </c>
      <c r="BC176" s="271">
        <f t="shared" si="81"/>
        <v>40.327662255828628</v>
      </c>
      <c r="BD176" s="214">
        <f t="shared" si="93"/>
        <v>38.0876810156715</v>
      </c>
      <c r="BE176" s="221">
        <f t="shared" si="84"/>
        <v>29.263831732967532</v>
      </c>
      <c r="BF176" s="214">
        <f t="shared" si="86"/>
        <v>26.574394463667826</v>
      </c>
      <c r="BG176" s="276">
        <f t="shared" si="87"/>
        <v>25.366627031311936</v>
      </c>
      <c r="BH176" s="221">
        <f t="shared" si="90"/>
        <v>23.185605603188019</v>
      </c>
      <c r="BI176" s="214">
        <f t="shared" si="92"/>
        <v>21.274238227146817</v>
      </c>
      <c r="BJ176" s="269">
        <f t="shared" si="94"/>
        <v>15.867768595041323</v>
      </c>
      <c r="BK176" s="221">
        <f t="shared" si="95"/>
        <v>14.517958412098302</v>
      </c>
      <c r="BL176" s="214">
        <f t="shared" si="72"/>
        <v>12.288</v>
      </c>
      <c r="BM176" s="262">
        <f t="shared" si="75"/>
        <v>11.360946745562131</v>
      </c>
      <c r="BN176" s="221">
        <f t="shared" si="76"/>
        <v>10.534979423868313</v>
      </c>
      <c r="BO176" s="214">
        <f t="shared" si="78"/>
        <v>9.7959183673469408</v>
      </c>
      <c r="BP176" s="221">
        <f t="shared" si="80"/>
        <v>8.5333333333333332</v>
      </c>
      <c r="BQ176" s="214">
        <f t="shared" si="83"/>
        <v>7.9916753381893848</v>
      </c>
      <c r="BR176" s="251">
        <f t="shared" si="85"/>
        <v>7.0523415977961452</v>
      </c>
      <c r="BS176" s="221">
        <f t="shared" si="88"/>
        <v>6.6435986159169564</v>
      </c>
      <c r="BT176" s="214">
        <f t="shared" si="91"/>
        <v>6.2693877551020423</v>
      </c>
      <c r="BU176" s="240">
        <f t="shared" ref="BU176:BU216" si="96" xml:space="preserve"> 30*(B176/B$217)^2</f>
        <v>4.5687091017251653</v>
      </c>
      <c r="BV176" s="284"/>
      <c r="BW176" s="183"/>
      <c r="BX176" s="184"/>
      <c r="BY176" s="183"/>
      <c r="BZ176" s="184"/>
      <c r="CA176" s="183"/>
      <c r="CB176" s="184"/>
      <c r="CC176" s="183"/>
      <c r="CD176" s="184"/>
      <c r="CE176" s="183"/>
      <c r="CF176" s="184"/>
      <c r="CG176" s="183"/>
      <c r="CH176" s="184"/>
      <c r="CI176" s="183"/>
      <c r="CJ176" s="184"/>
      <c r="CK176" s="183"/>
      <c r="CL176" s="184"/>
      <c r="CM176" s="256"/>
    </row>
    <row r="177" spans="1:91" ht="10.5" customHeight="1" thickBot="1">
      <c r="A177" s="179" t="str">
        <f t="shared" si="67"/>
        <v/>
      </c>
      <c r="B177" s="190">
        <v>0.81</v>
      </c>
      <c r="C177" s="189"/>
      <c r="D177" s="189"/>
      <c r="E177" s="189"/>
      <c r="F177" s="189"/>
      <c r="G177" s="273"/>
      <c r="H177" s="188"/>
      <c r="I177" s="187"/>
      <c r="J177" s="187"/>
      <c r="K177" s="187"/>
      <c r="L177" s="187"/>
      <c r="M177" s="187"/>
      <c r="N177" s="187"/>
      <c r="O177" s="187"/>
      <c r="P177" s="187"/>
      <c r="Q177" s="187"/>
      <c r="R177" s="187"/>
      <c r="S177" s="186"/>
      <c r="T177" s="183"/>
      <c r="U177" s="186"/>
      <c r="V177" s="183"/>
      <c r="W177" s="184"/>
      <c r="X177" s="184"/>
      <c r="Y177" s="183"/>
      <c r="Z177" s="184"/>
      <c r="AA177" s="184"/>
      <c r="AB177" s="183"/>
      <c r="AC177" s="184"/>
      <c r="AD177" s="184"/>
      <c r="AE177" s="183"/>
      <c r="AF177" s="184"/>
      <c r="AG177" s="184"/>
      <c r="AH177" s="185"/>
      <c r="AI177" s="184"/>
      <c r="AJ177" s="184"/>
      <c r="AK177" s="183"/>
      <c r="AL177" s="184"/>
      <c r="AM177" s="184"/>
      <c r="AN177" s="183"/>
      <c r="AO177" s="184"/>
      <c r="AP177" s="184"/>
      <c r="AQ177" s="183"/>
      <c r="AR177" s="184"/>
      <c r="AS177" s="184"/>
      <c r="AT177" s="183"/>
      <c r="AU177" s="184"/>
      <c r="AV177" s="182"/>
      <c r="AW177" s="215"/>
      <c r="AX177" s="287"/>
      <c r="AY177" s="227">
        <f t="shared" si="77"/>
        <v>70.071199715201146</v>
      </c>
      <c r="AZ177" s="221">
        <f t="shared" si="79"/>
        <v>60.581717451523559</v>
      </c>
      <c r="BA177" s="214">
        <f t="shared" si="82"/>
        <v>54.675000000000004</v>
      </c>
      <c r="BB177" s="221">
        <f t="shared" si="89"/>
        <v>43.847182000445528</v>
      </c>
      <c r="BC177" s="181">
        <f t="shared" si="81"/>
        <v>41.342155009451801</v>
      </c>
      <c r="BD177" s="214">
        <f t="shared" si="93"/>
        <v>39.045824241221986</v>
      </c>
      <c r="BE177" s="235">
        <v>30</v>
      </c>
      <c r="BF177" s="214">
        <f t="shared" si="86"/>
        <v>27.242906574394464</v>
      </c>
      <c r="BG177" s="279">
        <f t="shared" si="87"/>
        <v>26.004756242568373</v>
      </c>
      <c r="BH177" s="221">
        <f t="shared" si="90"/>
        <v>23.768868494143224</v>
      </c>
      <c r="BI177" s="214">
        <f t="shared" si="92"/>
        <v>21.809418282548481</v>
      </c>
      <c r="BJ177" s="272">
        <f t="shared" si="94"/>
        <v>16.266942148760329</v>
      </c>
      <c r="BK177" s="221">
        <f t="shared" si="95"/>
        <v>14.883175803402654</v>
      </c>
      <c r="BL177" s="214">
        <f t="shared" ref="BL177:BL200" si="97" xml:space="preserve"> 30*(B177/B$201)^2</f>
        <v>12.59712</v>
      </c>
      <c r="BM177" s="264">
        <f t="shared" si="75"/>
        <v>11.646745562130178</v>
      </c>
      <c r="BN177" s="221">
        <f t="shared" si="76"/>
        <v>10.799999999999999</v>
      </c>
      <c r="BO177" s="214">
        <f t="shared" si="78"/>
        <v>10.042346938775511</v>
      </c>
      <c r="BP177" s="221">
        <f t="shared" si="80"/>
        <v>8.7480000000000011</v>
      </c>
      <c r="BQ177" s="214">
        <f t="shared" si="83"/>
        <v>8.1927159209157132</v>
      </c>
      <c r="BR177" s="252">
        <f t="shared" si="85"/>
        <v>7.2297520661157044</v>
      </c>
      <c r="BS177" s="221">
        <f t="shared" si="88"/>
        <v>6.810726643598616</v>
      </c>
      <c r="BT177" s="214">
        <f t="shared" si="91"/>
        <v>6.4271020408163277</v>
      </c>
      <c r="BU177" s="180">
        <f t="shared" si="96"/>
        <v>4.683640690065439</v>
      </c>
      <c r="BV177" s="284"/>
      <c r="BW177" s="183"/>
      <c r="BX177" s="184"/>
      <c r="BY177" s="183"/>
      <c r="BZ177" s="184"/>
      <c r="CA177" s="183"/>
      <c r="CB177" s="184"/>
      <c r="CC177" s="183"/>
      <c r="CD177" s="184"/>
      <c r="CE177" s="183"/>
      <c r="CF177" s="184"/>
      <c r="CG177" s="183"/>
      <c r="CH177" s="184"/>
      <c r="CI177" s="183"/>
      <c r="CJ177" s="184"/>
      <c r="CK177" s="183"/>
      <c r="CL177" s="184"/>
      <c r="CM177" s="256"/>
    </row>
    <row r="178" spans="1:91" ht="10.5" customHeight="1">
      <c r="A178" s="179" t="str">
        <f t="shared" si="67"/>
        <v/>
      </c>
      <c r="B178" s="213">
        <v>0.82</v>
      </c>
      <c r="C178" s="212"/>
      <c r="D178" s="212"/>
      <c r="E178" s="212"/>
      <c r="F178" s="212"/>
      <c r="G178" s="270"/>
      <c r="H178" s="211"/>
      <c r="I178" s="210"/>
      <c r="J178" s="210"/>
      <c r="K178" s="210"/>
      <c r="L178" s="210"/>
      <c r="M178" s="210"/>
      <c r="N178" s="210"/>
      <c r="O178" s="210"/>
      <c r="P178" s="210"/>
      <c r="Q178" s="210"/>
      <c r="R178" s="210"/>
      <c r="S178" s="209"/>
      <c r="T178" s="207"/>
      <c r="U178" s="209"/>
      <c r="V178" s="207"/>
      <c r="W178" s="206"/>
      <c r="X178" s="206"/>
      <c r="Y178" s="207"/>
      <c r="Z178" s="206"/>
      <c r="AA178" s="206"/>
      <c r="AB178" s="207"/>
      <c r="AC178" s="206"/>
      <c r="AD178" s="206"/>
      <c r="AE178" s="207"/>
      <c r="AF178" s="206"/>
      <c r="AG178" s="206"/>
      <c r="AH178" s="208"/>
      <c r="AI178" s="206"/>
      <c r="AJ178" s="206"/>
      <c r="AK178" s="207"/>
      <c r="AL178" s="206"/>
      <c r="AM178" s="206"/>
      <c r="AN178" s="207"/>
      <c r="AO178" s="206"/>
      <c r="AP178" s="206"/>
      <c r="AQ178" s="207"/>
      <c r="AR178" s="206"/>
      <c r="AS178" s="206"/>
      <c r="AT178" s="207"/>
      <c r="AU178" s="206"/>
      <c r="AV178" s="206"/>
      <c r="AW178" s="207"/>
      <c r="AX178" s="182"/>
      <c r="AY178" s="182"/>
      <c r="AZ178" s="225">
        <f t="shared" si="79"/>
        <v>62.086795937211456</v>
      </c>
      <c r="BA178" s="219">
        <f t="shared" si="82"/>
        <v>56.033333333333331</v>
      </c>
      <c r="BB178" s="225">
        <f t="shared" si="89"/>
        <v>44.936511472488291</v>
      </c>
      <c r="BC178" s="271">
        <f t="shared" si="81"/>
        <v>42.369250157529926</v>
      </c>
      <c r="BD178" s="219">
        <f t="shared" si="93"/>
        <v>40.015869867089862</v>
      </c>
      <c r="BE178" s="225">
        <f t="shared" ref="BE178:BE201" si="98" xml:space="preserve"> 30*(B178/B$177)^2</f>
        <v>30.745313214449009</v>
      </c>
      <c r="BF178" s="219">
        <f t="shared" si="86"/>
        <v>27.919723183391003</v>
      </c>
      <c r="BG178" s="276">
        <f t="shared" si="87"/>
        <v>26.650812524772093</v>
      </c>
      <c r="BH178" s="225">
        <f t="shared" si="90"/>
        <v>24.359376886849411</v>
      </c>
      <c r="BI178" s="219">
        <f t="shared" si="92"/>
        <v>22.351246537396126</v>
      </c>
      <c r="BJ178" s="269">
        <f t="shared" si="94"/>
        <v>16.671074380165287</v>
      </c>
      <c r="BK178" s="225">
        <f t="shared" si="95"/>
        <v>15.252930056710776</v>
      </c>
      <c r="BL178" s="219">
        <f t="shared" si="97"/>
        <v>12.910079999999997</v>
      </c>
      <c r="BM178" s="262">
        <f t="shared" si="75"/>
        <v>11.936094674556212</v>
      </c>
      <c r="BN178" s="225">
        <f t="shared" si="76"/>
        <v>11.068312757201642</v>
      </c>
      <c r="BO178" s="219">
        <f t="shared" si="78"/>
        <v>10.291836734693879</v>
      </c>
      <c r="BP178" s="225">
        <f t="shared" si="80"/>
        <v>8.9653333333333318</v>
      </c>
      <c r="BQ178" s="219">
        <f t="shared" si="83"/>
        <v>8.3962539021852205</v>
      </c>
      <c r="BR178" s="251">
        <f t="shared" si="85"/>
        <v>7.4093663911845731</v>
      </c>
      <c r="BS178" s="225">
        <f t="shared" si="88"/>
        <v>6.9799307958477508</v>
      </c>
      <c r="BT178" s="219">
        <f t="shared" si="91"/>
        <v>6.586775510204081</v>
      </c>
      <c r="BU178" s="202">
        <f t="shared" si="96"/>
        <v>4.8000000000000007</v>
      </c>
      <c r="BV178" s="255"/>
      <c r="BW178" s="207"/>
      <c r="BX178" s="206"/>
      <c r="BY178" s="207"/>
      <c r="BZ178" s="206"/>
      <c r="CA178" s="207"/>
      <c r="CB178" s="206"/>
      <c r="CC178" s="207"/>
      <c r="CD178" s="206"/>
      <c r="CE178" s="207"/>
      <c r="CF178" s="206"/>
      <c r="CG178" s="207"/>
      <c r="CH178" s="206"/>
      <c r="CI178" s="207"/>
      <c r="CJ178" s="206"/>
      <c r="CK178" s="207"/>
      <c r="CL178" s="206"/>
      <c r="CM178" s="254"/>
    </row>
    <row r="179" spans="1:91" ht="10.5" customHeight="1" thickBot="1">
      <c r="A179" s="179" t="str">
        <f t="shared" si="67"/>
        <v/>
      </c>
      <c r="B179" s="201">
        <v>0.83</v>
      </c>
      <c r="C179" s="200"/>
      <c r="D179" s="200"/>
      <c r="E179" s="200"/>
      <c r="F179" s="200"/>
      <c r="G179" s="267"/>
      <c r="H179" s="199"/>
      <c r="I179" s="198"/>
      <c r="J179" s="198"/>
      <c r="K179" s="198"/>
      <c r="L179" s="198"/>
      <c r="M179" s="198"/>
      <c r="N179" s="198"/>
      <c r="O179" s="198"/>
      <c r="P179" s="198"/>
      <c r="Q179" s="198"/>
      <c r="R179" s="198"/>
      <c r="S179" s="197"/>
      <c r="T179" s="194"/>
      <c r="U179" s="197"/>
      <c r="V179" s="194"/>
      <c r="W179" s="195"/>
      <c r="X179" s="195"/>
      <c r="Y179" s="194"/>
      <c r="Z179" s="195"/>
      <c r="AA179" s="195"/>
      <c r="AB179" s="194"/>
      <c r="AC179" s="195"/>
      <c r="AD179" s="195"/>
      <c r="AE179" s="194"/>
      <c r="AF179" s="195"/>
      <c r="AG179" s="195"/>
      <c r="AH179" s="196"/>
      <c r="AI179" s="195"/>
      <c r="AJ179" s="195"/>
      <c r="AK179" s="194"/>
      <c r="AL179" s="195"/>
      <c r="AM179" s="195"/>
      <c r="AN179" s="194"/>
      <c r="AO179" s="195"/>
      <c r="AP179" s="195"/>
      <c r="AQ179" s="194"/>
      <c r="AR179" s="195"/>
      <c r="AS179" s="195"/>
      <c r="AT179" s="194"/>
      <c r="AU179" s="195"/>
      <c r="AV179" s="195"/>
      <c r="AW179" s="194"/>
      <c r="AX179" s="224"/>
      <c r="AY179" s="224"/>
      <c r="AZ179" s="223">
        <f t="shared" si="79"/>
        <v>63.61034164358265</v>
      </c>
      <c r="BA179" s="217">
        <f t="shared" si="82"/>
        <v>57.408333333333331</v>
      </c>
      <c r="BB179" s="223">
        <f t="shared" si="89"/>
        <v>46.039206950322999</v>
      </c>
      <c r="BC179" s="181">
        <f t="shared" si="81"/>
        <v>43.408947700063017</v>
      </c>
      <c r="BD179" s="217">
        <f t="shared" si="93"/>
        <v>40.99781789327514</v>
      </c>
      <c r="BE179" s="223">
        <f t="shared" si="98"/>
        <v>31.499771376314577</v>
      </c>
      <c r="BF179" s="217">
        <f t="shared" si="86"/>
        <v>28.604844290657436</v>
      </c>
      <c r="BG179" s="279">
        <f t="shared" si="87"/>
        <v>27.304795877923105</v>
      </c>
      <c r="BH179" s="223">
        <f t="shared" si="90"/>
        <v>24.957130781306603</v>
      </c>
      <c r="BI179" s="217">
        <f t="shared" si="92"/>
        <v>22.899722991689753</v>
      </c>
      <c r="BJ179" s="272">
        <f t="shared" si="94"/>
        <v>17.080165289256193</v>
      </c>
      <c r="BK179" s="223">
        <f t="shared" si="95"/>
        <v>15.627221172022686</v>
      </c>
      <c r="BL179" s="217">
        <f t="shared" si="97"/>
        <v>13.226879999999998</v>
      </c>
      <c r="BM179" s="264">
        <f t="shared" si="75"/>
        <v>12.228994082840234</v>
      </c>
      <c r="BN179" s="223">
        <f t="shared" si="76"/>
        <v>11.339917695473247</v>
      </c>
      <c r="BO179" s="217">
        <f t="shared" si="78"/>
        <v>10.544387755102042</v>
      </c>
      <c r="BP179" s="223">
        <f t="shared" si="80"/>
        <v>9.1853333333333325</v>
      </c>
      <c r="BQ179" s="217">
        <f t="shared" si="83"/>
        <v>8.6022892819979155</v>
      </c>
      <c r="BR179" s="252">
        <f t="shared" si="85"/>
        <v>7.5911845730027547</v>
      </c>
      <c r="BS179" s="223">
        <f t="shared" si="88"/>
        <v>7.151211072664359</v>
      </c>
      <c r="BT179" s="217">
        <f t="shared" si="91"/>
        <v>6.7484081632653048</v>
      </c>
      <c r="BU179" s="191">
        <f t="shared" si="96"/>
        <v>4.9177870315288521</v>
      </c>
      <c r="BV179" s="259"/>
      <c r="BW179" s="194"/>
      <c r="BX179" s="195"/>
      <c r="BY179" s="194"/>
      <c r="BZ179" s="195"/>
      <c r="CA179" s="194"/>
      <c r="CB179" s="195"/>
      <c r="CC179" s="194"/>
      <c r="CD179" s="195"/>
      <c r="CE179" s="194"/>
      <c r="CF179" s="195"/>
      <c r="CG179" s="194"/>
      <c r="CH179" s="195"/>
      <c r="CI179" s="194"/>
      <c r="CJ179" s="195"/>
      <c r="CK179" s="194"/>
      <c r="CL179" s="195"/>
      <c r="CM179" s="258"/>
    </row>
    <row r="180" spans="1:91" ht="10.5" customHeight="1">
      <c r="A180" s="179" t="str">
        <f t="shared" si="67"/>
        <v/>
      </c>
      <c r="B180" s="190">
        <v>0.84</v>
      </c>
      <c r="C180" s="189"/>
      <c r="D180" s="189"/>
      <c r="E180" s="189"/>
      <c r="F180" s="189"/>
      <c r="G180" s="273"/>
      <c r="H180" s="188"/>
      <c r="I180" s="187"/>
      <c r="J180" s="187"/>
      <c r="K180" s="187"/>
      <c r="L180" s="187"/>
      <c r="M180" s="187"/>
      <c r="N180" s="187"/>
      <c r="O180" s="187"/>
      <c r="P180" s="187"/>
      <c r="Q180" s="187"/>
      <c r="R180" s="187"/>
      <c r="S180" s="186"/>
      <c r="T180" s="183"/>
      <c r="U180" s="186"/>
      <c r="V180" s="183"/>
      <c r="W180" s="184"/>
      <c r="X180" s="184"/>
      <c r="Y180" s="183"/>
      <c r="Z180" s="184"/>
      <c r="AA180" s="184"/>
      <c r="AB180" s="183"/>
      <c r="AC180" s="184"/>
      <c r="AD180" s="184"/>
      <c r="AE180" s="183"/>
      <c r="AF180" s="184"/>
      <c r="AG180" s="184"/>
      <c r="AH180" s="185"/>
      <c r="AI180" s="184"/>
      <c r="AJ180" s="184"/>
      <c r="AK180" s="183"/>
      <c r="AL180" s="184"/>
      <c r="AM180" s="184"/>
      <c r="AN180" s="183"/>
      <c r="AO180" s="184"/>
      <c r="AP180" s="184"/>
      <c r="AQ180" s="183"/>
      <c r="AR180" s="184"/>
      <c r="AS180" s="184"/>
      <c r="AT180" s="183"/>
      <c r="AU180" s="184"/>
      <c r="AV180" s="184"/>
      <c r="AW180" s="183"/>
      <c r="AX180" s="182"/>
      <c r="AY180" s="182"/>
      <c r="AZ180" s="221">
        <f t="shared" si="79"/>
        <v>65.152354570637129</v>
      </c>
      <c r="BA180" s="214">
        <f t="shared" si="82"/>
        <v>58.79999999999999</v>
      </c>
      <c r="BB180" s="221">
        <f t="shared" si="89"/>
        <v>47.155268433949644</v>
      </c>
      <c r="BC180" s="271">
        <f t="shared" si="81"/>
        <v>44.461247637051045</v>
      </c>
      <c r="BD180" s="214">
        <f t="shared" si="93"/>
        <v>41.991668319777816</v>
      </c>
      <c r="BE180" s="221">
        <f t="shared" si="98"/>
        <v>32.2633744855967</v>
      </c>
      <c r="BF180" s="214">
        <f t="shared" si="86"/>
        <v>29.298269896193776</v>
      </c>
      <c r="BG180" s="276">
        <f t="shared" si="87"/>
        <v>27.9667063020214</v>
      </c>
      <c r="BH180" s="221">
        <f t="shared" si="90"/>
        <v>25.562130177514788</v>
      </c>
      <c r="BI180" s="214">
        <f t="shared" si="92"/>
        <v>23.454847645429361</v>
      </c>
      <c r="BJ180" s="269">
        <f t="shared" si="94"/>
        <v>17.494214876033055</v>
      </c>
      <c r="BK180" s="221">
        <f t="shared" si="95"/>
        <v>16.006049149338374</v>
      </c>
      <c r="BL180" s="214">
        <f t="shared" si="97"/>
        <v>13.547519999999999</v>
      </c>
      <c r="BM180" s="262">
        <f t="shared" ref="BM180:BM211" si="99" xml:space="preserve"> 30*(B180/B$202)^2</f>
        <v>12.525443786982246</v>
      </c>
      <c r="BN180" s="221">
        <f t="shared" si="76"/>
        <v>11.614814814814812</v>
      </c>
      <c r="BO180" s="214">
        <f t="shared" si="78"/>
        <v>10.799999999999999</v>
      </c>
      <c r="BP180" s="221">
        <f t="shared" si="80"/>
        <v>9.4079999999999977</v>
      </c>
      <c r="BQ180" s="214">
        <f t="shared" si="83"/>
        <v>8.8108220603537966</v>
      </c>
      <c r="BR180" s="251">
        <f t="shared" si="85"/>
        <v>7.7752066115702494</v>
      </c>
      <c r="BS180" s="221">
        <f t="shared" si="88"/>
        <v>7.3245674740484441</v>
      </c>
      <c r="BT180" s="214">
        <f t="shared" si="91"/>
        <v>6.9119999999999999</v>
      </c>
      <c r="BU180" s="180">
        <f t="shared" si="96"/>
        <v>5.0370017846519932</v>
      </c>
      <c r="BV180" s="278" t="s">
        <v>3553</v>
      </c>
      <c r="BW180" s="183"/>
      <c r="BX180" s="184"/>
      <c r="BY180" s="183"/>
      <c r="BZ180" s="184"/>
      <c r="CA180" s="183"/>
      <c r="CB180" s="184"/>
      <c r="CC180" s="183"/>
      <c r="CD180" s="184"/>
      <c r="CE180" s="183"/>
      <c r="CF180" s="184"/>
      <c r="CG180" s="183"/>
      <c r="CH180" s="184"/>
      <c r="CI180" s="183"/>
      <c r="CJ180" s="184"/>
      <c r="CK180" s="183"/>
      <c r="CL180" s="184"/>
      <c r="CM180" s="256"/>
    </row>
    <row r="181" spans="1:91" ht="10.5" customHeight="1" thickBot="1">
      <c r="A181" s="179" t="str">
        <f t="shared" si="67"/>
        <v/>
      </c>
      <c r="B181" s="190">
        <v>0.85</v>
      </c>
      <c r="C181" s="189"/>
      <c r="D181" s="189"/>
      <c r="E181" s="189"/>
      <c r="F181" s="189"/>
      <c r="G181" s="273"/>
      <c r="H181" s="188"/>
      <c r="I181" s="187"/>
      <c r="J181" s="187"/>
      <c r="K181" s="187"/>
      <c r="L181" s="187"/>
      <c r="M181" s="187"/>
      <c r="N181" s="187"/>
      <c r="O181" s="187"/>
      <c r="P181" s="187"/>
      <c r="Q181" s="187"/>
      <c r="R181" s="187"/>
      <c r="S181" s="186"/>
      <c r="T181" s="183"/>
      <c r="U181" s="186"/>
      <c r="V181" s="183"/>
      <c r="W181" s="184"/>
      <c r="X181" s="184"/>
      <c r="Y181" s="183"/>
      <c r="Z181" s="184"/>
      <c r="AA181" s="184"/>
      <c r="AB181" s="183"/>
      <c r="AC181" s="184"/>
      <c r="AD181" s="184"/>
      <c r="AE181" s="183"/>
      <c r="AF181" s="184"/>
      <c r="AG181" s="184"/>
      <c r="AH181" s="185"/>
      <c r="AI181" s="184"/>
      <c r="AJ181" s="184"/>
      <c r="AK181" s="183"/>
      <c r="AL181" s="184"/>
      <c r="AM181" s="184"/>
      <c r="AN181" s="183"/>
      <c r="AO181" s="184"/>
      <c r="AP181" s="184"/>
      <c r="AQ181" s="183"/>
      <c r="AR181" s="184"/>
      <c r="AS181" s="184"/>
      <c r="AT181" s="183"/>
      <c r="AU181" s="184"/>
      <c r="AV181" s="184"/>
      <c r="AW181" s="183"/>
      <c r="AX181" s="182"/>
      <c r="AY181" s="182"/>
      <c r="AZ181" s="221">
        <f t="shared" si="79"/>
        <v>66.712834718374907</v>
      </c>
      <c r="BA181" s="214">
        <f t="shared" si="82"/>
        <v>60.208333333333343</v>
      </c>
      <c r="BB181" s="221">
        <f t="shared" si="89"/>
        <v>48.284695923368226</v>
      </c>
      <c r="BC181" s="181">
        <f t="shared" si="81"/>
        <v>45.526149968494025</v>
      </c>
      <c r="BD181" s="214">
        <f t="shared" si="93"/>
        <v>42.997421146597894</v>
      </c>
      <c r="BE181" s="221">
        <f t="shared" si="98"/>
        <v>33.036122542295381</v>
      </c>
      <c r="BF181" s="237">
        <v>30</v>
      </c>
      <c r="BG181" s="279">
        <f t="shared" si="87"/>
        <v>28.636543797066988</v>
      </c>
      <c r="BH181" s="221">
        <f t="shared" si="90"/>
        <v>26.174375075473971</v>
      </c>
      <c r="BI181" s="214">
        <f t="shared" si="92"/>
        <v>24.016620498614959</v>
      </c>
      <c r="BJ181" s="272">
        <f t="shared" si="94"/>
        <v>17.913223140495862</v>
      </c>
      <c r="BK181" s="221">
        <f t="shared" si="95"/>
        <v>16.38941398865785</v>
      </c>
      <c r="BL181" s="214">
        <f t="shared" si="97"/>
        <v>13.871999999999998</v>
      </c>
      <c r="BM181" s="264">
        <f t="shared" si="99"/>
        <v>12.825443786982248</v>
      </c>
      <c r="BN181" s="221">
        <f t="shared" ref="BN181:BN202" si="100" xml:space="preserve"> 30*(B181/B$203)^2</f>
        <v>11.893004115226335</v>
      </c>
      <c r="BO181" s="214">
        <f t="shared" si="78"/>
        <v>11.058673469387758</v>
      </c>
      <c r="BP181" s="221">
        <f t="shared" si="80"/>
        <v>9.6333333333333329</v>
      </c>
      <c r="BQ181" s="214">
        <f t="shared" si="83"/>
        <v>9.0218522372528618</v>
      </c>
      <c r="BR181" s="252">
        <f t="shared" si="85"/>
        <v>7.9614325068870526</v>
      </c>
      <c r="BS181" s="221">
        <f t="shared" si="88"/>
        <v>7.5</v>
      </c>
      <c r="BT181" s="214">
        <f t="shared" si="91"/>
        <v>7.0775510204081629</v>
      </c>
      <c r="BU181" s="180">
        <f t="shared" si="96"/>
        <v>5.1576442593694241</v>
      </c>
      <c r="BV181" s="257"/>
      <c r="BW181" s="183"/>
      <c r="BX181" s="184"/>
      <c r="BY181" s="183"/>
      <c r="BZ181" s="184"/>
      <c r="CA181" s="183"/>
      <c r="CB181" s="184"/>
      <c r="CC181" s="183"/>
      <c r="CD181" s="184"/>
      <c r="CE181" s="183"/>
      <c r="CF181" s="184"/>
      <c r="CG181" s="183"/>
      <c r="CH181" s="184"/>
      <c r="CI181" s="183"/>
      <c r="CJ181" s="184"/>
      <c r="CK181" s="183"/>
      <c r="CL181" s="184"/>
      <c r="CM181" s="256"/>
    </row>
    <row r="182" spans="1:91" ht="10.5" customHeight="1">
      <c r="A182" s="179" t="str">
        <f t="shared" si="67"/>
        <v/>
      </c>
      <c r="B182" s="213">
        <v>0.86</v>
      </c>
      <c r="C182" s="212"/>
      <c r="D182" s="212"/>
      <c r="E182" s="212"/>
      <c r="F182" s="212"/>
      <c r="G182" s="270"/>
      <c r="H182" s="211"/>
      <c r="I182" s="210"/>
      <c r="J182" s="210"/>
      <c r="K182" s="210"/>
      <c r="L182" s="210"/>
      <c r="M182" s="210"/>
      <c r="N182" s="210"/>
      <c r="O182" s="210"/>
      <c r="P182" s="210"/>
      <c r="Q182" s="210"/>
      <c r="R182" s="210"/>
      <c r="S182" s="209"/>
      <c r="T182" s="207"/>
      <c r="U182" s="209"/>
      <c r="V182" s="207"/>
      <c r="W182" s="206"/>
      <c r="X182" s="206"/>
      <c r="Y182" s="207"/>
      <c r="Z182" s="206"/>
      <c r="AA182" s="206"/>
      <c r="AB182" s="207"/>
      <c r="AC182" s="206"/>
      <c r="AD182" s="206"/>
      <c r="AE182" s="207"/>
      <c r="AF182" s="206"/>
      <c r="AG182" s="206"/>
      <c r="AH182" s="208"/>
      <c r="AI182" s="206"/>
      <c r="AJ182" s="206"/>
      <c r="AK182" s="207"/>
      <c r="AL182" s="206"/>
      <c r="AM182" s="206"/>
      <c r="AN182" s="207"/>
      <c r="AO182" s="206"/>
      <c r="AP182" s="206"/>
      <c r="AQ182" s="207"/>
      <c r="AR182" s="206"/>
      <c r="AS182" s="206"/>
      <c r="AT182" s="207"/>
      <c r="AU182" s="206"/>
      <c r="AV182" s="206"/>
      <c r="AW182" s="207"/>
      <c r="AX182" s="226"/>
      <c r="AY182" s="226"/>
      <c r="AZ182" s="225">
        <f t="shared" si="79"/>
        <v>68.291782086795934</v>
      </c>
      <c r="BA182" s="219">
        <f t="shared" si="82"/>
        <v>61.633333333333333</v>
      </c>
      <c r="BB182" s="225">
        <f t="shared" si="89"/>
        <v>49.427489418578745</v>
      </c>
      <c r="BC182" s="271">
        <f t="shared" si="81"/>
        <v>46.603654694391935</v>
      </c>
      <c r="BD182" s="219">
        <f t="shared" si="93"/>
        <v>44.015076373735361</v>
      </c>
      <c r="BE182" s="225">
        <f t="shared" si="98"/>
        <v>33.818015546410599</v>
      </c>
      <c r="BF182" s="219">
        <f t="shared" ref="BF182:BF202" si="101" xml:space="preserve"> 30*(B182/B$181)^2</f>
        <v>30.710034602076121</v>
      </c>
      <c r="BG182" s="276">
        <f t="shared" si="87"/>
        <v>29.314308363059848</v>
      </c>
      <c r="BH182" s="225">
        <f t="shared" si="90"/>
        <v>26.793865475184155</v>
      </c>
      <c r="BI182" s="219">
        <f t="shared" si="92"/>
        <v>24.58504155124654</v>
      </c>
      <c r="BJ182" s="269">
        <f t="shared" si="94"/>
        <v>18.337190082644625</v>
      </c>
      <c r="BK182" s="225">
        <f t="shared" si="95"/>
        <v>16.777315689981098</v>
      </c>
      <c r="BL182" s="219">
        <f t="shared" si="97"/>
        <v>14.200319999999998</v>
      </c>
      <c r="BM182" s="262">
        <f t="shared" si="99"/>
        <v>13.128994082840237</v>
      </c>
      <c r="BN182" s="225">
        <f t="shared" si="100"/>
        <v>12.174485596707816</v>
      </c>
      <c r="BO182" s="219">
        <f t="shared" si="78"/>
        <v>11.320408163265308</v>
      </c>
      <c r="BP182" s="225">
        <f t="shared" si="80"/>
        <v>9.8613333333333344</v>
      </c>
      <c r="BQ182" s="219">
        <f t="shared" si="83"/>
        <v>9.2353798126951094</v>
      </c>
      <c r="BR182" s="251">
        <f t="shared" si="85"/>
        <v>8.1498622589531688</v>
      </c>
      <c r="BS182" s="225">
        <f t="shared" si="88"/>
        <v>7.6775086505190302</v>
      </c>
      <c r="BT182" s="219">
        <f t="shared" si="91"/>
        <v>7.2450612244897963</v>
      </c>
      <c r="BU182" s="225">
        <f t="shared" si="96"/>
        <v>5.2797144556811428</v>
      </c>
      <c r="BV182" s="271">
        <f t="shared" ref="BV182:BV213" si="102" xml:space="preserve"> 30*(B182/B$220)^2</f>
        <v>4.5842975206611563</v>
      </c>
      <c r="BW182" s="286"/>
      <c r="BX182" s="206"/>
      <c r="BY182" s="207"/>
      <c r="BZ182" s="206"/>
      <c r="CA182" s="207"/>
      <c r="CB182" s="206"/>
      <c r="CC182" s="207"/>
      <c r="CD182" s="206"/>
      <c r="CE182" s="207"/>
      <c r="CF182" s="206"/>
      <c r="CG182" s="207"/>
      <c r="CH182" s="206"/>
      <c r="CI182" s="207"/>
      <c r="CJ182" s="206"/>
      <c r="CK182" s="207"/>
      <c r="CL182" s="206"/>
      <c r="CM182" s="254"/>
    </row>
    <row r="183" spans="1:91" ht="10.5" customHeight="1" thickBot="1">
      <c r="A183" s="179" t="str">
        <f t="shared" si="67"/>
        <v/>
      </c>
      <c r="B183" s="201">
        <v>0.87</v>
      </c>
      <c r="C183" s="200"/>
      <c r="D183" s="200"/>
      <c r="E183" s="200"/>
      <c r="F183" s="200"/>
      <c r="G183" s="267"/>
      <c r="H183" s="199"/>
      <c r="I183" s="198"/>
      <c r="J183" s="198"/>
      <c r="K183" s="198"/>
      <c r="L183" s="198"/>
      <c r="M183" s="198"/>
      <c r="N183" s="198"/>
      <c r="O183" s="198"/>
      <c r="P183" s="198"/>
      <c r="Q183" s="198"/>
      <c r="R183" s="198"/>
      <c r="S183" s="197"/>
      <c r="T183" s="194"/>
      <c r="U183" s="197"/>
      <c r="V183" s="194"/>
      <c r="W183" s="195"/>
      <c r="X183" s="195"/>
      <c r="Y183" s="194"/>
      <c r="Z183" s="195"/>
      <c r="AA183" s="195"/>
      <c r="AB183" s="194"/>
      <c r="AC183" s="195"/>
      <c r="AD183" s="195"/>
      <c r="AE183" s="194"/>
      <c r="AF183" s="195"/>
      <c r="AG183" s="195"/>
      <c r="AH183" s="196"/>
      <c r="AI183" s="195"/>
      <c r="AJ183" s="195"/>
      <c r="AK183" s="194"/>
      <c r="AL183" s="195"/>
      <c r="AM183" s="195"/>
      <c r="AN183" s="194"/>
      <c r="AO183" s="195"/>
      <c r="AP183" s="195"/>
      <c r="AQ183" s="194"/>
      <c r="AR183" s="195"/>
      <c r="AS183" s="195"/>
      <c r="AT183" s="194"/>
      <c r="AU183" s="195"/>
      <c r="AV183" s="195"/>
      <c r="AW183" s="194"/>
      <c r="AX183" s="224"/>
      <c r="AY183" s="224"/>
      <c r="AZ183" s="220">
        <f t="shared" si="79"/>
        <v>69.88919667590028</v>
      </c>
      <c r="BA183" s="217">
        <f t="shared" si="82"/>
        <v>63.075000000000003</v>
      </c>
      <c r="BB183" s="223">
        <f t="shared" si="89"/>
        <v>50.583648919581194</v>
      </c>
      <c r="BC183" s="181">
        <f t="shared" si="81"/>
        <v>47.693761814744803</v>
      </c>
      <c r="BD183" s="217">
        <f t="shared" si="93"/>
        <v>45.044634001190246</v>
      </c>
      <c r="BE183" s="223">
        <f t="shared" si="98"/>
        <v>34.609053497942384</v>
      </c>
      <c r="BF183" s="217">
        <f t="shared" si="101"/>
        <v>31.428373702422142</v>
      </c>
      <c r="BG183" s="279">
        <f t="shared" si="87"/>
        <v>30</v>
      </c>
      <c r="BH183" s="223">
        <f t="shared" si="90"/>
        <v>27.42060137664533</v>
      </c>
      <c r="BI183" s="217">
        <f t="shared" si="92"/>
        <v>25.160110803324102</v>
      </c>
      <c r="BJ183" s="272">
        <f t="shared" si="94"/>
        <v>18.76611570247934</v>
      </c>
      <c r="BK183" s="223">
        <f t="shared" si="95"/>
        <v>17.169754253308131</v>
      </c>
      <c r="BL183" s="217">
        <f t="shared" si="97"/>
        <v>14.53248</v>
      </c>
      <c r="BM183" s="264">
        <f t="shared" si="99"/>
        <v>13.436094674556211</v>
      </c>
      <c r="BN183" s="223">
        <f t="shared" si="100"/>
        <v>12.459259259259255</v>
      </c>
      <c r="BO183" s="217">
        <f t="shared" ref="BO183:BO203" si="103" xml:space="preserve"> 30*(B183/B$204)^2</f>
        <v>11.585204081632654</v>
      </c>
      <c r="BP183" s="223">
        <f t="shared" si="80"/>
        <v>10.091999999999999</v>
      </c>
      <c r="BQ183" s="217">
        <f t="shared" si="83"/>
        <v>9.4514047866805413</v>
      </c>
      <c r="BR183" s="252">
        <f t="shared" si="85"/>
        <v>8.3404958677685972</v>
      </c>
      <c r="BS183" s="223">
        <f t="shared" si="88"/>
        <v>7.8570934256055356</v>
      </c>
      <c r="BT183" s="217">
        <f t="shared" si="91"/>
        <v>7.4145306122448984</v>
      </c>
      <c r="BU183" s="223">
        <f t="shared" si="96"/>
        <v>5.4032123735871513</v>
      </c>
      <c r="BV183" s="192">
        <f t="shared" si="102"/>
        <v>4.6915289256198349</v>
      </c>
      <c r="BW183" s="261"/>
      <c r="BX183" s="195"/>
      <c r="BY183" s="194"/>
      <c r="BZ183" s="195"/>
      <c r="CA183" s="194"/>
      <c r="CB183" s="195"/>
      <c r="CC183" s="194"/>
      <c r="CD183" s="195"/>
      <c r="CE183" s="194"/>
      <c r="CF183" s="195"/>
      <c r="CG183" s="194"/>
      <c r="CH183" s="195"/>
      <c r="CI183" s="194"/>
      <c r="CJ183" s="195"/>
      <c r="CK183" s="194"/>
      <c r="CL183" s="195"/>
      <c r="CM183" s="258"/>
    </row>
    <row r="184" spans="1:91" ht="10.5" customHeight="1">
      <c r="A184" s="179" t="str">
        <f t="shared" si="67"/>
        <v/>
      </c>
      <c r="B184" s="190">
        <v>0.88</v>
      </c>
      <c r="C184" s="189"/>
      <c r="D184" s="189"/>
      <c r="E184" s="189"/>
      <c r="F184" s="189"/>
      <c r="G184" s="273"/>
      <c r="H184" s="188"/>
      <c r="I184" s="187"/>
      <c r="J184" s="187"/>
      <c r="K184" s="187"/>
      <c r="L184" s="187"/>
      <c r="M184" s="187"/>
      <c r="N184" s="187"/>
      <c r="O184" s="187"/>
      <c r="P184" s="187"/>
      <c r="Q184" s="187"/>
      <c r="R184" s="187"/>
      <c r="S184" s="186"/>
      <c r="T184" s="183"/>
      <c r="U184" s="186"/>
      <c r="V184" s="183"/>
      <c r="W184" s="184"/>
      <c r="X184" s="184"/>
      <c r="Y184" s="183"/>
      <c r="Z184" s="184"/>
      <c r="AA184" s="184"/>
      <c r="AB184" s="183"/>
      <c r="AC184" s="184"/>
      <c r="AD184" s="184"/>
      <c r="AE184" s="183"/>
      <c r="AF184" s="184"/>
      <c r="AG184" s="184"/>
      <c r="AH184" s="185"/>
      <c r="AI184" s="184"/>
      <c r="AJ184" s="184"/>
      <c r="AK184" s="183"/>
      <c r="AL184" s="184"/>
      <c r="AM184" s="184"/>
      <c r="AN184" s="183"/>
      <c r="AO184" s="184"/>
      <c r="AP184" s="184"/>
      <c r="AQ184" s="183"/>
      <c r="AR184" s="184"/>
      <c r="AS184" s="184"/>
      <c r="AT184" s="183"/>
      <c r="AU184" s="184"/>
      <c r="AV184" s="184"/>
      <c r="AW184" s="183"/>
      <c r="AX184" s="184"/>
      <c r="AY184" s="184"/>
      <c r="AZ184" s="216"/>
      <c r="BA184" s="214">
        <f t="shared" si="82"/>
        <v>64.533333333333346</v>
      </c>
      <c r="BB184" s="221">
        <f t="shared" si="89"/>
        <v>51.753174426375587</v>
      </c>
      <c r="BC184" s="271">
        <f t="shared" si="81"/>
        <v>48.796471329552624</v>
      </c>
      <c r="BD184" s="214">
        <f t="shared" si="93"/>
        <v>46.086094028962513</v>
      </c>
      <c r="BE184" s="221">
        <f t="shared" si="98"/>
        <v>35.409236396890712</v>
      </c>
      <c r="BF184" s="214">
        <f t="shared" si="101"/>
        <v>32.155017301038072</v>
      </c>
      <c r="BG184" s="276">
        <f t="shared" si="87"/>
        <v>30.693618707887438</v>
      </c>
      <c r="BH184" s="221">
        <f t="shared" si="90"/>
        <v>28.054582779857505</v>
      </c>
      <c r="BI184" s="214">
        <f t="shared" si="92"/>
        <v>25.741828254847647</v>
      </c>
      <c r="BJ184" s="269">
        <f t="shared" si="94"/>
        <v>19.199999999999996</v>
      </c>
      <c r="BK184" s="221">
        <f t="shared" si="95"/>
        <v>17.566729678638943</v>
      </c>
      <c r="BL184" s="214">
        <f t="shared" si="97"/>
        <v>14.868479999999998</v>
      </c>
      <c r="BM184" s="262">
        <f t="shared" si="99"/>
        <v>13.746745562130174</v>
      </c>
      <c r="BN184" s="221">
        <f t="shared" si="100"/>
        <v>12.747325102880657</v>
      </c>
      <c r="BO184" s="214">
        <f t="shared" si="103"/>
        <v>11.853061224489799</v>
      </c>
      <c r="BP184" s="221">
        <f t="shared" si="80"/>
        <v>10.325333333333335</v>
      </c>
      <c r="BQ184" s="214">
        <f t="shared" si="83"/>
        <v>9.6699271592091574</v>
      </c>
      <c r="BR184" s="251">
        <f t="shared" si="85"/>
        <v>8.5333333333333332</v>
      </c>
      <c r="BS184" s="221">
        <f t="shared" si="88"/>
        <v>8.0387543252595179</v>
      </c>
      <c r="BT184" s="214">
        <f t="shared" si="91"/>
        <v>7.5859591836734701</v>
      </c>
      <c r="BU184" s="221">
        <f t="shared" si="96"/>
        <v>5.5281380130874496</v>
      </c>
      <c r="BV184" s="214">
        <f t="shared" si="102"/>
        <v>4.7999999999999989</v>
      </c>
      <c r="BW184" s="240">
        <f t="shared" ref="BW184:BW220" si="104" xml:space="preserve"> 30*(B184/B$221)^2</f>
        <v>4.5890370370370377</v>
      </c>
      <c r="BX184" s="284"/>
      <c r="BY184" s="183"/>
      <c r="BZ184" s="184"/>
      <c r="CA184" s="183"/>
      <c r="CB184" s="184"/>
      <c r="CC184" s="183"/>
      <c r="CD184" s="184"/>
      <c r="CE184" s="183"/>
      <c r="CF184" s="184"/>
      <c r="CG184" s="183"/>
      <c r="CH184" s="184"/>
      <c r="CI184" s="183"/>
      <c r="CJ184" s="184"/>
      <c r="CK184" s="183"/>
      <c r="CL184" s="184"/>
      <c r="CM184" s="256"/>
    </row>
    <row r="185" spans="1:91" ht="10.5" customHeight="1" thickBot="1">
      <c r="A185" s="179" t="str">
        <f t="shared" si="67"/>
        <v/>
      </c>
      <c r="B185" s="190">
        <v>0.89</v>
      </c>
      <c r="C185" s="189"/>
      <c r="D185" s="189"/>
      <c r="E185" s="189"/>
      <c r="F185" s="189"/>
      <c r="G185" s="273"/>
      <c r="H185" s="188"/>
      <c r="I185" s="187"/>
      <c r="J185" s="187"/>
      <c r="K185" s="187"/>
      <c r="L185" s="187"/>
      <c r="M185" s="187"/>
      <c r="N185" s="187"/>
      <c r="O185" s="187"/>
      <c r="P185" s="187"/>
      <c r="Q185" s="187"/>
      <c r="R185" s="187"/>
      <c r="S185" s="186"/>
      <c r="T185" s="183"/>
      <c r="U185" s="186"/>
      <c r="V185" s="183"/>
      <c r="W185" s="184"/>
      <c r="X185" s="184"/>
      <c r="Y185" s="183"/>
      <c r="Z185" s="184"/>
      <c r="AA185" s="184"/>
      <c r="AB185" s="183"/>
      <c r="AC185" s="184"/>
      <c r="AD185" s="184"/>
      <c r="AE185" s="183"/>
      <c r="AF185" s="184"/>
      <c r="AG185" s="184"/>
      <c r="AH185" s="185"/>
      <c r="AI185" s="184"/>
      <c r="AJ185" s="184"/>
      <c r="AK185" s="183"/>
      <c r="AL185" s="184"/>
      <c r="AM185" s="184"/>
      <c r="AN185" s="183"/>
      <c r="AO185" s="184"/>
      <c r="AP185" s="184"/>
      <c r="AQ185" s="183"/>
      <c r="AR185" s="184"/>
      <c r="AS185" s="184"/>
      <c r="AT185" s="183"/>
      <c r="AU185" s="184"/>
      <c r="AV185" s="184"/>
      <c r="AW185" s="183"/>
      <c r="AX185" s="184"/>
      <c r="AY185" s="184"/>
      <c r="AZ185" s="216"/>
      <c r="BA185" s="214">
        <f t="shared" si="82"/>
        <v>66.00833333333334</v>
      </c>
      <c r="BB185" s="221">
        <f t="shared" si="89"/>
        <v>52.936065938961896</v>
      </c>
      <c r="BC185" s="181">
        <f t="shared" si="81"/>
        <v>49.911783238815389</v>
      </c>
      <c r="BD185" s="214">
        <f t="shared" si="93"/>
        <v>47.139456457052177</v>
      </c>
      <c r="BE185" s="221">
        <f t="shared" si="98"/>
        <v>36.218564243255599</v>
      </c>
      <c r="BF185" s="214">
        <f t="shared" si="101"/>
        <v>32.889965397923874</v>
      </c>
      <c r="BG185" s="279">
        <f t="shared" si="87"/>
        <v>31.395164486722155</v>
      </c>
      <c r="BH185" s="221">
        <f t="shared" si="90"/>
        <v>28.69580968482067</v>
      </c>
      <c r="BI185" s="214">
        <f t="shared" si="92"/>
        <v>26.330193905817179</v>
      </c>
      <c r="BJ185" s="272">
        <f t="shared" si="94"/>
        <v>19.638842975206611</v>
      </c>
      <c r="BK185" s="221">
        <f t="shared" si="95"/>
        <v>17.96824196597354</v>
      </c>
      <c r="BL185" s="214">
        <f t="shared" si="97"/>
        <v>15.208319999999999</v>
      </c>
      <c r="BM185" s="264">
        <f t="shared" si="99"/>
        <v>14.060946745562131</v>
      </c>
      <c r="BN185" s="221">
        <f t="shared" si="100"/>
        <v>13.038683127572014</v>
      </c>
      <c r="BO185" s="214">
        <f t="shared" si="103"/>
        <v>12.123979591836738</v>
      </c>
      <c r="BP185" s="221">
        <f t="shared" si="80"/>
        <v>10.561333333333335</v>
      </c>
      <c r="BQ185" s="214">
        <f t="shared" si="83"/>
        <v>9.8909469302809594</v>
      </c>
      <c r="BR185" s="252">
        <f t="shared" si="85"/>
        <v>8.728374655647384</v>
      </c>
      <c r="BS185" s="221">
        <f t="shared" si="88"/>
        <v>8.2224913494809684</v>
      </c>
      <c r="BT185" s="214">
        <f t="shared" si="91"/>
        <v>7.7593469387755096</v>
      </c>
      <c r="BU185" s="221">
        <f t="shared" si="96"/>
        <v>5.6544913741820357</v>
      </c>
      <c r="BV185" s="214">
        <f t="shared" si="102"/>
        <v>4.9097107438016527</v>
      </c>
      <c r="BW185" s="180">
        <f t="shared" si="104"/>
        <v>4.6939259259259254</v>
      </c>
      <c r="BX185" s="284"/>
      <c r="BY185" s="183"/>
      <c r="BZ185" s="184"/>
      <c r="CA185" s="183"/>
      <c r="CB185" s="184"/>
      <c r="CC185" s="183"/>
      <c r="CD185" s="184"/>
      <c r="CE185" s="183"/>
      <c r="CF185" s="184"/>
      <c r="CG185" s="183"/>
      <c r="CH185" s="184"/>
      <c r="CI185" s="183"/>
      <c r="CJ185" s="184"/>
      <c r="CK185" s="183"/>
      <c r="CL185" s="184"/>
      <c r="CM185" s="256"/>
    </row>
    <row r="186" spans="1:91" ht="10.5" customHeight="1">
      <c r="A186" s="179" t="str">
        <f t="shared" si="67"/>
        <v/>
      </c>
      <c r="B186" s="213">
        <v>0.9</v>
      </c>
      <c r="C186" s="212"/>
      <c r="D186" s="212"/>
      <c r="E186" s="212"/>
      <c r="F186" s="212"/>
      <c r="G186" s="270"/>
      <c r="H186" s="211"/>
      <c r="I186" s="210"/>
      <c r="J186" s="210"/>
      <c r="K186" s="210"/>
      <c r="L186" s="210"/>
      <c r="M186" s="210"/>
      <c r="N186" s="210"/>
      <c r="O186" s="210"/>
      <c r="P186" s="210"/>
      <c r="Q186" s="210"/>
      <c r="R186" s="210"/>
      <c r="S186" s="209"/>
      <c r="T186" s="207"/>
      <c r="U186" s="209"/>
      <c r="V186" s="207"/>
      <c r="W186" s="206"/>
      <c r="X186" s="206"/>
      <c r="Y186" s="207"/>
      <c r="Z186" s="206"/>
      <c r="AA186" s="206"/>
      <c r="AB186" s="207"/>
      <c r="AC186" s="206"/>
      <c r="AD186" s="206"/>
      <c r="AE186" s="207"/>
      <c r="AF186" s="206"/>
      <c r="AG186" s="206"/>
      <c r="AH186" s="208"/>
      <c r="AI186" s="206"/>
      <c r="AJ186" s="206"/>
      <c r="AK186" s="207"/>
      <c r="AL186" s="206"/>
      <c r="AM186" s="206"/>
      <c r="AN186" s="207"/>
      <c r="AO186" s="206"/>
      <c r="AP186" s="206"/>
      <c r="AQ186" s="207"/>
      <c r="AR186" s="206"/>
      <c r="AS186" s="206"/>
      <c r="AT186" s="207"/>
      <c r="AU186" s="206"/>
      <c r="AV186" s="206"/>
      <c r="AW186" s="207"/>
      <c r="AX186" s="206"/>
      <c r="AY186" s="206"/>
      <c r="AZ186" s="205"/>
      <c r="BA186" s="219">
        <f t="shared" si="82"/>
        <v>67.5</v>
      </c>
      <c r="BB186" s="225">
        <f t="shared" si="89"/>
        <v>54.132323457340149</v>
      </c>
      <c r="BC186" s="271">
        <f t="shared" si="81"/>
        <v>51.039697542533105</v>
      </c>
      <c r="BD186" s="219">
        <f t="shared" si="93"/>
        <v>48.204721285459243</v>
      </c>
      <c r="BE186" s="225">
        <f t="shared" si="98"/>
        <v>37.037037037037038</v>
      </c>
      <c r="BF186" s="219">
        <f t="shared" si="101"/>
        <v>33.63321799307959</v>
      </c>
      <c r="BG186" s="276">
        <f t="shared" si="87"/>
        <v>32.104637336504169</v>
      </c>
      <c r="BH186" s="225">
        <f t="shared" si="90"/>
        <v>29.34428209153484</v>
      </c>
      <c r="BI186" s="219">
        <f t="shared" si="92"/>
        <v>26.925207756232691</v>
      </c>
      <c r="BJ186" s="269">
        <f t="shared" si="94"/>
        <v>20.082644628099171</v>
      </c>
      <c r="BK186" s="225">
        <f t="shared" si="95"/>
        <v>18.374291115311912</v>
      </c>
      <c r="BL186" s="219">
        <f t="shared" si="97"/>
        <v>15.552</v>
      </c>
      <c r="BM186" s="262">
        <f t="shared" si="99"/>
        <v>14.378698224852069</v>
      </c>
      <c r="BN186" s="225">
        <f t="shared" si="100"/>
        <v>13.333333333333332</v>
      </c>
      <c r="BO186" s="219">
        <f t="shared" si="103"/>
        <v>12.397959183673471</v>
      </c>
      <c r="BP186" s="225">
        <f t="shared" si="80"/>
        <v>10.799999999999999</v>
      </c>
      <c r="BQ186" s="219">
        <f t="shared" si="83"/>
        <v>10.114464099895942</v>
      </c>
      <c r="BR186" s="251">
        <f t="shared" si="85"/>
        <v>8.925619834710746</v>
      </c>
      <c r="BS186" s="225">
        <f t="shared" si="88"/>
        <v>8.4083044982698976</v>
      </c>
      <c r="BT186" s="219">
        <f t="shared" si="91"/>
        <v>7.9346938775510223</v>
      </c>
      <c r="BU186" s="225">
        <f t="shared" si="96"/>
        <v>5.7822724568709116</v>
      </c>
      <c r="BV186" s="219">
        <f t="shared" si="102"/>
        <v>5.0206611570247928</v>
      </c>
      <c r="BW186" s="202">
        <f t="shared" si="104"/>
        <v>4.8000000000000007</v>
      </c>
      <c r="BX186" s="255"/>
      <c r="BY186" s="207"/>
      <c r="BZ186" s="206"/>
      <c r="CA186" s="207"/>
      <c r="CB186" s="206"/>
      <c r="CC186" s="207"/>
      <c r="CD186" s="206"/>
      <c r="CE186" s="207"/>
      <c r="CF186" s="206"/>
      <c r="CG186" s="207"/>
      <c r="CH186" s="206"/>
      <c r="CI186" s="207"/>
      <c r="CJ186" s="206"/>
      <c r="CK186" s="207"/>
      <c r="CL186" s="206"/>
      <c r="CM186" s="254"/>
    </row>
    <row r="187" spans="1:91" ht="10.5" customHeight="1" thickBot="1">
      <c r="A187" s="179" t="str">
        <f t="shared" si="67"/>
        <v/>
      </c>
      <c r="B187" s="201">
        <v>0.91</v>
      </c>
      <c r="C187" s="200"/>
      <c r="D187" s="200"/>
      <c r="E187" s="200"/>
      <c r="F187" s="200"/>
      <c r="G187" s="267"/>
      <c r="H187" s="199"/>
      <c r="I187" s="198"/>
      <c r="J187" s="198"/>
      <c r="K187" s="198"/>
      <c r="L187" s="198"/>
      <c r="M187" s="198"/>
      <c r="N187" s="198"/>
      <c r="O187" s="198"/>
      <c r="P187" s="198"/>
      <c r="Q187" s="198"/>
      <c r="R187" s="198"/>
      <c r="S187" s="197"/>
      <c r="T187" s="194"/>
      <c r="U187" s="197"/>
      <c r="V187" s="194"/>
      <c r="W187" s="195"/>
      <c r="X187" s="195"/>
      <c r="Y187" s="194"/>
      <c r="Z187" s="195"/>
      <c r="AA187" s="195"/>
      <c r="AB187" s="194"/>
      <c r="AC187" s="195"/>
      <c r="AD187" s="195"/>
      <c r="AE187" s="194"/>
      <c r="AF187" s="195"/>
      <c r="AG187" s="195"/>
      <c r="AH187" s="196"/>
      <c r="AI187" s="195"/>
      <c r="AJ187" s="195"/>
      <c r="AK187" s="194"/>
      <c r="AL187" s="195"/>
      <c r="AM187" s="195"/>
      <c r="AN187" s="194"/>
      <c r="AO187" s="195"/>
      <c r="AP187" s="195"/>
      <c r="AQ187" s="194"/>
      <c r="AR187" s="195"/>
      <c r="AS187" s="195"/>
      <c r="AT187" s="194"/>
      <c r="AU187" s="195"/>
      <c r="AV187" s="195"/>
      <c r="AW187" s="194"/>
      <c r="AX187" s="195"/>
      <c r="AY187" s="195"/>
      <c r="AZ187" s="228"/>
      <c r="BA187" s="217">
        <f t="shared" si="82"/>
        <v>69.00833333333334</v>
      </c>
      <c r="BB187" s="223">
        <f t="shared" si="89"/>
        <v>55.341946981510354</v>
      </c>
      <c r="BC187" s="181">
        <f t="shared" si="81"/>
        <v>52.180214240705737</v>
      </c>
      <c r="BD187" s="217">
        <f t="shared" si="93"/>
        <v>49.281888514183699</v>
      </c>
      <c r="BE187" s="223">
        <f t="shared" si="98"/>
        <v>37.864654778235021</v>
      </c>
      <c r="BF187" s="217">
        <f t="shared" si="101"/>
        <v>34.384775086505186</v>
      </c>
      <c r="BG187" s="279">
        <f t="shared" si="87"/>
        <v>32.822037257233447</v>
      </c>
      <c r="BH187" s="238">
        <v>30</v>
      </c>
      <c r="BI187" s="217">
        <f t="shared" si="92"/>
        <v>27.52686980609419</v>
      </c>
      <c r="BJ187" s="272">
        <f t="shared" si="94"/>
        <v>20.531404958677683</v>
      </c>
      <c r="BK187" s="223">
        <f t="shared" si="95"/>
        <v>18.784877126654067</v>
      </c>
      <c r="BL187" s="217">
        <f t="shared" si="97"/>
        <v>15.899520000000001</v>
      </c>
      <c r="BM187" s="264">
        <f t="shared" si="99"/>
        <v>14.699999999999998</v>
      </c>
      <c r="BN187" s="223">
        <f t="shared" si="100"/>
        <v>13.631275720164608</v>
      </c>
      <c r="BO187" s="217">
        <f t="shared" si="103"/>
        <v>12.675000000000001</v>
      </c>
      <c r="BP187" s="223">
        <f t="shared" ref="BP187:BP205" si="105" xml:space="preserve"> 30*(B187/B$206)^2</f>
        <v>11.041333333333334</v>
      </c>
      <c r="BQ187" s="217">
        <f t="shared" si="83"/>
        <v>10.340478668054113</v>
      </c>
      <c r="BR187" s="252">
        <f t="shared" si="85"/>
        <v>9.1250688705234175</v>
      </c>
      <c r="BS187" s="223">
        <f t="shared" si="88"/>
        <v>8.5961937716262966</v>
      </c>
      <c r="BT187" s="217">
        <f t="shared" si="91"/>
        <v>8.1120000000000001</v>
      </c>
      <c r="BU187" s="223">
        <f t="shared" si="96"/>
        <v>5.9114812611540763</v>
      </c>
      <c r="BV187" s="217">
        <f t="shared" si="102"/>
        <v>5.1328512396694208</v>
      </c>
      <c r="BW187" s="191">
        <f t="shared" si="104"/>
        <v>4.9072592592592592</v>
      </c>
      <c r="BX187" s="257"/>
      <c r="BY187" s="194"/>
      <c r="BZ187" s="195"/>
      <c r="CA187" s="194"/>
      <c r="CB187" s="195"/>
      <c r="CC187" s="194"/>
      <c r="CD187" s="195"/>
      <c r="CE187" s="194"/>
      <c r="CF187" s="195"/>
      <c r="CG187" s="194"/>
      <c r="CH187" s="195"/>
      <c r="CI187" s="194"/>
      <c r="CJ187" s="195"/>
      <c r="CK187" s="194"/>
      <c r="CL187" s="195"/>
      <c r="CM187" s="258"/>
    </row>
    <row r="188" spans="1:91" ht="10.5" customHeight="1" thickBot="1">
      <c r="A188" s="179" t="str">
        <f t="shared" si="67"/>
        <v/>
      </c>
      <c r="B188" s="190">
        <v>0.92</v>
      </c>
      <c r="C188" s="189"/>
      <c r="D188" s="189"/>
      <c r="E188" s="189"/>
      <c r="F188" s="189"/>
      <c r="G188" s="273"/>
      <c r="H188" s="188"/>
      <c r="I188" s="187"/>
      <c r="J188" s="187"/>
      <c r="K188" s="187"/>
      <c r="L188" s="187"/>
      <c r="M188" s="187"/>
      <c r="N188" s="187"/>
      <c r="O188" s="187"/>
      <c r="P188" s="187"/>
      <c r="Q188" s="187"/>
      <c r="R188" s="187"/>
      <c r="S188" s="186"/>
      <c r="T188" s="183"/>
      <c r="U188" s="186"/>
      <c r="V188" s="183"/>
      <c r="W188" s="184"/>
      <c r="X188" s="184"/>
      <c r="Y188" s="183"/>
      <c r="Z188" s="184"/>
      <c r="AA188" s="184"/>
      <c r="AB188" s="183"/>
      <c r="AC188" s="184"/>
      <c r="AD188" s="184"/>
      <c r="AE188" s="183"/>
      <c r="AF188" s="184"/>
      <c r="AG188" s="184"/>
      <c r="AH188" s="185"/>
      <c r="AI188" s="184"/>
      <c r="AJ188" s="184"/>
      <c r="AK188" s="183"/>
      <c r="AL188" s="184"/>
      <c r="AM188" s="184"/>
      <c r="AN188" s="183"/>
      <c r="AO188" s="184"/>
      <c r="AP188" s="184"/>
      <c r="AQ188" s="183"/>
      <c r="AR188" s="184"/>
      <c r="AS188" s="184"/>
      <c r="AT188" s="183"/>
      <c r="AU188" s="184"/>
      <c r="AV188" s="184"/>
      <c r="AW188" s="183"/>
      <c r="AX188" s="184"/>
      <c r="AY188" s="184"/>
      <c r="AZ188" s="215"/>
      <c r="BA188" s="227">
        <f t="shared" si="82"/>
        <v>70.533333333333346</v>
      </c>
      <c r="BB188" s="221">
        <f t="shared" si="89"/>
        <v>56.564936511472482</v>
      </c>
      <c r="BC188" s="271">
        <f t="shared" ref="BC188:BC198" si="106" xml:space="preserve"> 30*(B188/B$165)^2</f>
        <v>53.333333333333343</v>
      </c>
      <c r="BD188" s="214">
        <f t="shared" si="93"/>
        <v>50.370958143225558</v>
      </c>
      <c r="BE188" s="221">
        <f t="shared" si="98"/>
        <v>38.701417466849563</v>
      </c>
      <c r="BF188" s="214">
        <f t="shared" si="101"/>
        <v>35.144636678200698</v>
      </c>
      <c r="BG188" s="276">
        <f t="shared" si="87"/>
        <v>33.547364248910029</v>
      </c>
      <c r="BH188" s="221">
        <f t="shared" ref="BH188:BH204" si="107" xml:space="preserve"> 30*(B188/B$187)^2</f>
        <v>30.662963410216157</v>
      </c>
      <c r="BI188" s="214">
        <f t="shared" si="92"/>
        <v>28.135180055401669</v>
      </c>
      <c r="BJ188" s="269">
        <f t="shared" si="94"/>
        <v>20.985123966942144</v>
      </c>
      <c r="BK188" s="221">
        <f t="shared" si="95"/>
        <v>19.200000000000003</v>
      </c>
      <c r="BL188" s="214">
        <f t="shared" si="97"/>
        <v>16.250879999999999</v>
      </c>
      <c r="BM188" s="262">
        <f t="shared" si="99"/>
        <v>15.02485207100592</v>
      </c>
      <c r="BN188" s="221">
        <f t="shared" si="100"/>
        <v>13.932510288065844</v>
      </c>
      <c r="BO188" s="214">
        <f t="shared" si="103"/>
        <v>12.95510204081633</v>
      </c>
      <c r="BP188" s="221">
        <f t="shared" si="105"/>
        <v>11.285333333333336</v>
      </c>
      <c r="BQ188" s="214">
        <f t="shared" si="83"/>
        <v>10.568990634755462</v>
      </c>
      <c r="BR188" s="251">
        <f t="shared" si="85"/>
        <v>9.3267217630854002</v>
      </c>
      <c r="BS188" s="221">
        <f t="shared" si="88"/>
        <v>8.7861591695501744</v>
      </c>
      <c r="BT188" s="214">
        <f t="shared" si="91"/>
        <v>8.2912653061224493</v>
      </c>
      <c r="BU188" s="221">
        <f t="shared" si="96"/>
        <v>6.0421177870315308</v>
      </c>
      <c r="BV188" s="214">
        <f t="shared" si="102"/>
        <v>5.246280991735536</v>
      </c>
      <c r="BW188" s="221">
        <f t="shared" si="104"/>
        <v>5.0157037037037036</v>
      </c>
      <c r="BX188" s="271">
        <f t="shared" ref="BX188:BX222" si="108" xml:space="preserve"> 30*(B188/B$223)^2</f>
        <v>4.5979176097781806</v>
      </c>
      <c r="BY188" s="285"/>
      <c r="BZ188" s="184"/>
      <c r="CA188" s="183"/>
      <c r="CB188" s="184"/>
      <c r="CC188" s="183"/>
      <c r="CD188" s="184"/>
      <c r="CE188" s="183"/>
      <c r="CF188" s="184"/>
      <c r="CG188" s="183"/>
      <c r="CH188" s="184"/>
      <c r="CI188" s="183"/>
      <c r="CJ188" s="184"/>
      <c r="CK188" s="183"/>
      <c r="CL188" s="184"/>
      <c r="CM188" s="256"/>
    </row>
    <row r="189" spans="1:91" ht="10.5" customHeight="1" thickBot="1">
      <c r="A189" s="179" t="str">
        <f t="shared" si="67"/>
        <v/>
      </c>
      <c r="B189" s="190">
        <v>0.93</v>
      </c>
      <c r="C189" s="189"/>
      <c r="D189" s="189"/>
      <c r="E189" s="189"/>
      <c r="F189" s="189"/>
      <c r="G189" s="273"/>
      <c r="H189" s="188"/>
      <c r="I189" s="187"/>
      <c r="J189" s="187"/>
      <c r="K189" s="187"/>
      <c r="L189" s="187"/>
      <c r="M189" s="187"/>
      <c r="N189" s="187"/>
      <c r="O189" s="187"/>
      <c r="P189" s="187"/>
      <c r="Q189" s="187"/>
      <c r="R189" s="187"/>
      <c r="S189" s="186"/>
      <c r="T189" s="183"/>
      <c r="U189" s="186"/>
      <c r="V189" s="183"/>
      <c r="W189" s="184"/>
      <c r="X189" s="184"/>
      <c r="Y189" s="183"/>
      <c r="Z189" s="184"/>
      <c r="AA189" s="184"/>
      <c r="AB189" s="183"/>
      <c r="AC189" s="184"/>
      <c r="AD189" s="184"/>
      <c r="AE189" s="183"/>
      <c r="AF189" s="184"/>
      <c r="AG189" s="184"/>
      <c r="AH189" s="185"/>
      <c r="AI189" s="184"/>
      <c r="AJ189" s="184"/>
      <c r="AK189" s="183"/>
      <c r="AL189" s="184"/>
      <c r="AM189" s="184"/>
      <c r="AN189" s="183"/>
      <c r="AO189" s="184"/>
      <c r="AP189" s="184"/>
      <c r="AQ189" s="183"/>
      <c r="AR189" s="184"/>
      <c r="AS189" s="184"/>
      <c r="AT189" s="183"/>
      <c r="AU189" s="184"/>
      <c r="AV189" s="184"/>
      <c r="AW189" s="183"/>
      <c r="AX189" s="184"/>
      <c r="AY189" s="184"/>
      <c r="AZ189" s="183"/>
      <c r="BA189" s="232"/>
      <c r="BB189" s="221">
        <f t="shared" si="89"/>
        <v>57.801292047226561</v>
      </c>
      <c r="BC189" s="181">
        <f t="shared" si="106"/>
        <v>54.499054820415893</v>
      </c>
      <c r="BD189" s="214">
        <f t="shared" si="93"/>
        <v>51.471930172584813</v>
      </c>
      <c r="BE189" s="221">
        <f t="shared" si="98"/>
        <v>39.547325102880656</v>
      </c>
      <c r="BF189" s="214">
        <f t="shared" si="101"/>
        <v>35.912802768166095</v>
      </c>
      <c r="BG189" s="279">
        <f t="shared" si="87"/>
        <v>34.280618311533892</v>
      </c>
      <c r="BH189" s="221">
        <f t="shared" si="107"/>
        <v>31.333172322183309</v>
      </c>
      <c r="BI189" s="214">
        <f t="shared" si="92"/>
        <v>28.750138504155125</v>
      </c>
      <c r="BJ189" s="272">
        <f t="shared" si="94"/>
        <v>21.44380165289256</v>
      </c>
      <c r="BK189" s="221">
        <f t="shared" si="95"/>
        <v>19.619659735349721</v>
      </c>
      <c r="BL189" s="214">
        <f t="shared" si="97"/>
        <v>16.606080000000002</v>
      </c>
      <c r="BM189" s="264">
        <f t="shared" si="99"/>
        <v>15.353254437869824</v>
      </c>
      <c r="BN189" s="221">
        <f t="shared" si="100"/>
        <v>14.237037037037036</v>
      </c>
      <c r="BO189" s="214">
        <f t="shared" si="103"/>
        <v>13.238265306122452</v>
      </c>
      <c r="BP189" s="221">
        <f t="shared" si="105"/>
        <v>11.532</v>
      </c>
      <c r="BQ189" s="214">
        <f t="shared" ref="BQ189:BQ206" si="109" xml:space="preserve"> 30*(B189/B$207)^2</f>
        <v>10.799999999999999</v>
      </c>
      <c r="BR189" s="252">
        <f t="shared" si="85"/>
        <v>9.5305785123966977</v>
      </c>
      <c r="BS189" s="221">
        <f t="shared" si="88"/>
        <v>8.9782006920415238</v>
      </c>
      <c r="BT189" s="214">
        <f t="shared" si="91"/>
        <v>8.4724897959183689</v>
      </c>
      <c r="BU189" s="221">
        <f t="shared" si="96"/>
        <v>6.1741820345032741</v>
      </c>
      <c r="BV189" s="214">
        <f t="shared" si="102"/>
        <v>5.36095041322314</v>
      </c>
      <c r="BW189" s="221">
        <f t="shared" si="104"/>
        <v>5.1253333333333329</v>
      </c>
      <c r="BX189" s="181">
        <f t="shared" si="108"/>
        <v>4.6984155726573107</v>
      </c>
      <c r="BY189" s="285"/>
      <c r="BZ189" s="184"/>
      <c r="CA189" s="183"/>
      <c r="CB189" s="184"/>
      <c r="CC189" s="183"/>
      <c r="CD189" s="184"/>
      <c r="CE189" s="183"/>
      <c r="CF189" s="184"/>
      <c r="CG189" s="183"/>
      <c r="CH189" s="184"/>
      <c r="CI189" s="183"/>
      <c r="CJ189" s="184"/>
      <c r="CK189" s="183"/>
      <c r="CL189" s="184"/>
      <c r="CM189" s="256"/>
    </row>
    <row r="190" spans="1:91" ht="10.5" customHeight="1">
      <c r="A190" s="179" t="str">
        <f t="shared" si="67"/>
        <v/>
      </c>
      <c r="B190" s="213">
        <v>0.94</v>
      </c>
      <c r="C190" s="212"/>
      <c r="D190" s="212"/>
      <c r="E190" s="212"/>
      <c r="F190" s="212"/>
      <c r="G190" s="270"/>
      <c r="H190" s="211"/>
      <c r="I190" s="210"/>
      <c r="J190" s="210"/>
      <c r="K190" s="210"/>
      <c r="L190" s="210"/>
      <c r="M190" s="210"/>
      <c r="N190" s="210"/>
      <c r="O190" s="210"/>
      <c r="P190" s="210"/>
      <c r="Q190" s="210"/>
      <c r="R190" s="210"/>
      <c r="S190" s="209"/>
      <c r="T190" s="207"/>
      <c r="U190" s="209"/>
      <c r="V190" s="207"/>
      <c r="W190" s="206"/>
      <c r="X190" s="206"/>
      <c r="Y190" s="207"/>
      <c r="Z190" s="206"/>
      <c r="AA190" s="206"/>
      <c r="AB190" s="207"/>
      <c r="AC190" s="206"/>
      <c r="AD190" s="206"/>
      <c r="AE190" s="207"/>
      <c r="AF190" s="206"/>
      <c r="AG190" s="206"/>
      <c r="AH190" s="208"/>
      <c r="AI190" s="206"/>
      <c r="AJ190" s="206"/>
      <c r="AK190" s="207"/>
      <c r="AL190" s="206"/>
      <c r="AM190" s="206"/>
      <c r="AN190" s="207"/>
      <c r="AO190" s="206"/>
      <c r="AP190" s="206"/>
      <c r="AQ190" s="207"/>
      <c r="AR190" s="206"/>
      <c r="AS190" s="206"/>
      <c r="AT190" s="207"/>
      <c r="AU190" s="206"/>
      <c r="AV190" s="206"/>
      <c r="AW190" s="207"/>
      <c r="AX190" s="206"/>
      <c r="AY190" s="206"/>
      <c r="AZ190" s="207"/>
      <c r="BA190" s="226"/>
      <c r="BB190" s="225">
        <f t="shared" si="89"/>
        <v>59.051013588772541</v>
      </c>
      <c r="BC190" s="271">
        <f t="shared" si="106"/>
        <v>55.677378701953373</v>
      </c>
      <c r="BD190" s="219">
        <f t="shared" si="93"/>
        <v>52.584804602261457</v>
      </c>
      <c r="BE190" s="225">
        <f t="shared" si="98"/>
        <v>40.402377686328293</v>
      </c>
      <c r="BF190" s="219">
        <f t="shared" si="101"/>
        <v>36.689273356401394</v>
      </c>
      <c r="BG190" s="276">
        <f t="shared" si="87"/>
        <v>35.021799445105032</v>
      </c>
      <c r="BH190" s="225">
        <f t="shared" si="107"/>
        <v>32.010626735901454</v>
      </c>
      <c r="BI190" s="219">
        <f t="shared" si="92"/>
        <v>29.371745152354571</v>
      </c>
      <c r="BJ190" s="269">
        <f t="shared" si="94"/>
        <v>21.907438016528918</v>
      </c>
      <c r="BK190" s="225">
        <f t="shared" si="95"/>
        <v>20.043856332703214</v>
      </c>
      <c r="BL190" s="219">
        <f t="shared" si="97"/>
        <v>16.965119999999999</v>
      </c>
      <c r="BM190" s="262">
        <f t="shared" si="99"/>
        <v>15.685207100591715</v>
      </c>
      <c r="BN190" s="225">
        <f t="shared" si="100"/>
        <v>14.544855967078187</v>
      </c>
      <c r="BO190" s="219">
        <f t="shared" si="103"/>
        <v>13.52448979591837</v>
      </c>
      <c r="BP190" s="225">
        <f t="shared" si="105"/>
        <v>11.781333333333331</v>
      </c>
      <c r="BQ190" s="219">
        <f t="shared" si="109"/>
        <v>11.03350676378772</v>
      </c>
      <c r="BR190" s="251">
        <f t="shared" si="85"/>
        <v>9.7366391184573011</v>
      </c>
      <c r="BS190" s="225">
        <f t="shared" si="88"/>
        <v>9.1723183391003484</v>
      </c>
      <c r="BT190" s="219">
        <f t="shared" si="91"/>
        <v>8.6556734693877555</v>
      </c>
      <c r="BU190" s="225">
        <f t="shared" si="96"/>
        <v>6.3076740035693044</v>
      </c>
      <c r="BV190" s="219">
        <f t="shared" si="102"/>
        <v>5.4768595041322294</v>
      </c>
      <c r="BW190" s="225">
        <f t="shared" si="104"/>
        <v>5.2361481481481471</v>
      </c>
      <c r="BX190" s="203">
        <f t="shared" si="108"/>
        <v>4.7999999999999989</v>
      </c>
      <c r="BY190" s="268"/>
      <c r="BZ190" s="206"/>
      <c r="CA190" s="207"/>
      <c r="CB190" s="206"/>
      <c r="CC190" s="207"/>
      <c r="CD190" s="206"/>
      <c r="CE190" s="207"/>
      <c r="CF190" s="206"/>
      <c r="CG190" s="207"/>
      <c r="CH190" s="206"/>
      <c r="CI190" s="207"/>
      <c r="CJ190" s="206"/>
      <c r="CK190" s="207"/>
      <c r="CL190" s="206"/>
      <c r="CM190" s="254"/>
    </row>
    <row r="191" spans="1:91" ht="10.5" customHeight="1" thickBot="1">
      <c r="A191" s="179" t="str">
        <f t="shared" si="67"/>
        <v/>
      </c>
      <c r="B191" s="201">
        <v>0.95</v>
      </c>
      <c r="C191" s="200"/>
      <c r="D191" s="200"/>
      <c r="E191" s="200"/>
      <c r="F191" s="200"/>
      <c r="G191" s="267"/>
      <c r="H191" s="199"/>
      <c r="I191" s="198"/>
      <c r="J191" s="198"/>
      <c r="K191" s="198"/>
      <c r="L191" s="198"/>
      <c r="M191" s="198"/>
      <c r="N191" s="198"/>
      <c r="O191" s="198"/>
      <c r="P191" s="198"/>
      <c r="Q191" s="198"/>
      <c r="R191" s="198"/>
      <c r="S191" s="197"/>
      <c r="T191" s="194"/>
      <c r="U191" s="197"/>
      <c r="V191" s="194"/>
      <c r="W191" s="195"/>
      <c r="X191" s="195"/>
      <c r="Y191" s="194"/>
      <c r="Z191" s="195"/>
      <c r="AA191" s="195"/>
      <c r="AB191" s="194"/>
      <c r="AC191" s="195"/>
      <c r="AD191" s="195"/>
      <c r="AE191" s="194"/>
      <c r="AF191" s="195"/>
      <c r="AG191" s="195"/>
      <c r="AH191" s="196"/>
      <c r="AI191" s="195"/>
      <c r="AJ191" s="195"/>
      <c r="AK191" s="194"/>
      <c r="AL191" s="195"/>
      <c r="AM191" s="195"/>
      <c r="AN191" s="194"/>
      <c r="AO191" s="195"/>
      <c r="AP191" s="195"/>
      <c r="AQ191" s="194"/>
      <c r="AR191" s="195"/>
      <c r="AS191" s="195"/>
      <c r="AT191" s="194"/>
      <c r="AU191" s="195"/>
      <c r="AV191" s="195"/>
      <c r="AW191" s="194"/>
      <c r="AX191" s="195"/>
      <c r="AY191" s="195"/>
      <c r="AZ191" s="194"/>
      <c r="BA191" s="224"/>
      <c r="BB191" s="223">
        <f t="shared" si="89"/>
        <v>60.31410113611048</v>
      </c>
      <c r="BC191" s="181">
        <f t="shared" si="106"/>
        <v>56.868304977945826</v>
      </c>
      <c r="BD191" s="217">
        <f t="shared" si="93"/>
        <v>53.709581432255504</v>
      </c>
      <c r="BE191" s="223">
        <f t="shared" si="98"/>
        <v>41.266575217192489</v>
      </c>
      <c r="BF191" s="217">
        <f t="shared" si="101"/>
        <v>37.474048442906579</v>
      </c>
      <c r="BG191" s="279">
        <f t="shared" si="87"/>
        <v>35.77090764962346</v>
      </c>
      <c r="BH191" s="223">
        <f t="shared" si="107"/>
        <v>32.695326651370593</v>
      </c>
      <c r="BI191" s="234">
        <v>30</v>
      </c>
      <c r="BJ191" s="272">
        <f t="shared" si="94"/>
        <v>22.376033057851235</v>
      </c>
      <c r="BK191" s="223">
        <f t="shared" si="95"/>
        <v>20.472589792060489</v>
      </c>
      <c r="BL191" s="217">
        <f t="shared" si="97"/>
        <v>17.327999999999999</v>
      </c>
      <c r="BM191" s="264">
        <f t="shared" si="99"/>
        <v>16.020710059171595</v>
      </c>
      <c r="BN191" s="223">
        <f t="shared" si="100"/>
        <v>14.855967078189297</v>
      </c>
      <c r="BO191" s="217">
        <f t="shared" si="103"/>
        <v>13.813775510204083</v>
      </c>
      <c r="BP191" s="223">
        <f t="shared" si="105"/>
        <v>12.033333333333333</v>
      </c>
      <c r="BQ191" s="217">
        <f t="shared" si="109"/>
        <v>11.269510926118622</v>
      </c>
      <c r="BR191" s="252">
        <f t="shared" si="85"/>
        <v>9.9449035812672193</v>
      </c>
      <c r="BS191" s="223">
        <f t="shared" si="88"/>
        <v>9.3685121107266447</v>
      </c>
      <c r="BT191" s="217">
        <f t="shared" si="91"/>
        <v>8.8408163265306108</v>
      </c>
      <c r="BU191" s="223">
        <f t="shared" si="96"/>
        <v>6.4425936942296254</v>
      </c>
      <c r="BV191" s="217">
        <f t="shared" si="102"/>
        <v>5.5940082644628086</v>
      </c>
      <c r="BW191" s="223">
        <f t="shared" si="104"/>
        <v>5.3481481481481481</v>
      </c>
      <c r="BX191" s="192">
        <f t="shared" si="108"/>
        <v>4.9026708918062463</v>
      </c>
      <c r="BY191" s="263"/>
      <c r="BZ191" s="195"/>
      <c r="CA191" s="194"/>
      <c r="CB191" s="195"/>
      <c r="CC191" s="194"/>
      <c r="CD191" s="195"/>
      <c r="CE191" s="194"/>
      <c r="CF191" s="195"/>
      <c r="CG191" s="194"/>
      <c r="CH191" s="195"/>
      <c r="CI191" s="194"/>
      <c r="CJ191" s="195"/>
      <c r="CK191" s="194"/>
      <c r="CL191" s="195"/>
      <c r="CM191" s="258"/>
    </row>
    <row r="192" spans="1:91" ht="10.5" customHeight="1" thickBot="1">
      <c r="A192" s="179" t="str">
        <f t="shared" si="67"/>
        <v/>
      </c>
      <c r="B192" s="190">
        <v>0.96</v>
      </c>
      <c r="C192" s="189"/>
      <c r="D192" s="189"/>
      <c r="E192" s="189"/>
      <c r="F192" s="189"/>
      <c r="G192" s="273"/>
      <c r="H192" s="188"/>
      <c r="I192" s="187"/>
      <c r="J192" s="187"/>
      <c r="K192" s="187"/>
      <c r="L192" s="187"/>
      <c r="M192" s="187"/>
      <c r="N192" s="187"/>
      <c r="O192" s="187"/>
      <c r="P192" s="187"/>
      <c r="Q192" s="187"/>
      <c r="R192" s="187"/>
      <c r="S192" s="186"/>
      <c r="T192" s="183"/>
      <c r="U192" s="186"/>
      <c r="V192" s="183"/>
      <c r="W192" s="184"/>
      <c r="X192" s="184"/>
      <c r="Y192" s="183"/>
      <c r="Z192" s="184"/>
      <c r="AA192" s="184"/>
      <c r="AB192" s="183"/>
      <c r="AC192" s="184"/>
      <c r="AD192" s="184"/>
      <c r="AE192" s="183"/>
      <c r="AF192" s="184"/>
      <c r="AG192" s="184"/>
      <c r="AH192" s="185"/>
      <c r="AI192" s="184"/>
      <c r="AJ192" s="184"/>
      <c r="AK192" s="183"/>
      <c r="AL192" s="184"/>
      <c r="AM192" s="184"/>
      <c r="AN192" s="183"/>
      <c r="AO192" s="184"/>
      <c r="AP192" s="184"/>
      <c r="AQ192" s="183"/>
      <c r="AR192" s="184"/>
      <c r="AS192" s="184"/>
      <c r="AT192" s="183"/>
      <c r="AU192" s="184"/>
      <c r="AV192" s="184"/>
      <c r="AW192" s="183"/>
      <c r="AX192" s="184"/>
      <c r="AY192" s="184"/>
      <c r="AZ192" s="183"/>
      <c r="BA192" s="182"/>
      <c r="BB192" s="221">
        <f t="shared" si="89"/>
        <v>61.590554689240363</v>
      </c>
      <c r="BC192" s="271">
        <f t="shared" si="106"/>
        <v>58.071833648393188</v>
      </c>
      <c r="BD192" s="214">
        <f t="shared" si="93"/>
        <v>54.846260662566948</v>
      </c>
      <c r="BE192" s="221">
        <f t="shared" si="98"/>
        <v>42.139917695473251</v>
      </c>
      <c r="BF192" s="214">
        <f t="shared" si="101"/>
        <v>38.267128027681657</v>
      </c>
      <c r="BG192" s="276">
        <f t="shared" si="87"/>
        <v>36.527942925089178</v>
      </c>
      <c r="BH192" s="221">
        <f t="shared" si="107"/>
        <v>33.387272068590747</v>
      </c>
      <c r="BI192" s="214">
        <f t="shared" ref="BI192:BI205" si="110" xml:space="preserve"> 30*(B192/B$191)^2</f>
        <v>30.634903047091417</v>
      </c>
      <c r="BJ192" s="269">
        <f t="shared" si="94"/>
        <v>22.849586776859496</v>
      </c>
      <c r="BK192" s="221">
        <f t="shared" si="95"/>
        <v>20.905860113421554</v>
      </c>
      <c r="BL192" s="214">
        <f t="shared" si="97"/>
        <v>17.69472</v>
      </c>
      <c r="BM192" s="262">
        <f t="shared" si="99"/>
        <v>16.359763313609463</v>
      </c>
      <c r="BN192" s="221">
        <f t="shared" si="100"/>
        <v>15.170370370370367</v>
      </c>
      <c r="BO192" s="214">
        <f t="shared" si="103"/>
        <v>14.106122448979592</v>
      </c>
      <c r="BP192" s="221">
        <f t="shared" si="105"/>
        <v>12.288</v>
      </c>
      <c r="BQ192" s="214">
        <f t="shared" si="109"/>
        <v>11.508012486992714</v>
      </c>
      <c r="BR192" s="251">
        <f t="shared" ref="BR192:BR227" si="111" xml:space="preserve"> 30*(B192/B$209)^2</f>
        <v>10.155371900826445</v>
      </c>
      <c r="BS192" s="221">
        <f t="shared" si="88"/>
        <v>9.5667820069204144</v>
      </c>
      <c r="BT192" s="214">
        <f t="shared" si="91"/>
        <v>9.0279183673469401</v>
      </c>
      <c r="BU192" s="221">
        <f t="shared" si="96"/>
        <v>6.5789411064842369</v>
      </c>
      <c r="BV192" s="214">
        <f t="shared" si="102"/>
        <v>5.7123966942148741</v>
      </c>
      <c r="BW192" s="221">
        <f t="shared" si="104"/>
        <v>5.4613333333333332</v>
      </c>
      <c r="BX192" s="181">
        <f t="shared" si="108"/>
        <v>5.0064282480760518</v>
      </c>
      <c r="BY192" s="261"/>
      <c r="BZ192" s="184"/>
      <c r="CA192" s="183"/>
      <c r="CB192" s="184"/>
      <c r="CC192" s="183"/>
      <c r="CD192" s="184"/>
      <c r="CE192" s="183"/>
      <c r="CF192" s="184"/>
      <c r="CG192" s="183"/>
      <c r="CH192" s="184"/>
      <c r="CI192" s="183"/>
      <c r="CJ192" s="184"/>
      <c r="CK192" s="183"/>
      <c r="CL192" s="184"/>
      <c r="CM192" s="256"/>
    </row>
    <row r="193" spans="1:91" ht="10.5" customHeight="1" thickBot="1">
      <c r="A193" s="179" t="str">
        <f t="shared" si="67"/>
        <v/>
      </c>
      <c r="B193" s="190">
        <v>0.97</v>
      </c>
      <c r="C193" s="189"/>
      <c r="D193" s="189"/>
      <c r="E193" s="189"/>
      <c r="F193" s="189"/>
      <c r="G193" s="273"/>
      <c r="H193" s="188"/>
      <c r="I193" s="187"/>
      <c r="J193" s="187"/>
      <c r="K193" s="187"/>
      <c r="L193" s="187"/>
      <c r="M193" s="187"/>
      <c r="N193" s="187"/>
      <c r="O193" s="187"/>
      <c r="P193" s="187"/>
      <c r="Q193" s="187"/>
      <c r="R193" s="187"/>
      <c r="S193" s="186"/>
      <c r="T193" s="183"/>
      <c r="U193" s="186"/>
      <c r="V193" s="183"/>
      <c r="W193" s="184"/>
      <c r="X193" s="184"/>
      <c r="Y193" s="183"/>
      <c r="Z193" s="184"/>
      <c r="AA193" s="184"/>
      <c r="AB193" s="183"/>
      <c r="AC193" s="184"/>
      <c r="AD193" s="184"/>
      <c r="AE193" s="183"/>
      <c r="AF193" s="184"/>
      <c r="AG193" s="184"/>
      <c r="AH193" s="185"/>
      <c r="AI193" s="184"/>
      <c r="AJ193" s="184"/>
      <c r="AK193" s="183"/>
      <c r="AL193" s="184"/>
      <c r="AM193" s="184"/>
      <c r="AN193" s="183"/>
      <c r="AO193" s="184"/>
      <c r="AP193" s="184"/>
      <c r="AQ193" s="183"/>
      <c r="AR193" s="184"/>
      <c r="AS193" s="184"/>
      <c r="AT193" s="183"/>
      <c r="AU193" s="184"/>
      <c r="AV193" s="184"/>
      <c r="AW193" s="183"/>
      <c r="AX193" s="184"/>
      <c r="AY193" s="184"/>
      <c r="AZ193" s="183"/>
      <c r="BA193" s="182"/>
      <c r="BB193" s="221">
        <f t="shared" si="89"/>
        <v>62.88037424816217</v>
      </c>
      <c r="BC193" s="181">
        <f t="shared" si="106"/>
        <v>59.28796471329553</v>
      </c>
      <c r="BD193" s="214">
        <f t="shared" si="93"/>
        <v>55.994842293195795</v>
      </c>
      <c r="BE193" s="221">
        <f t="shared" si="98"/>
        <v>43.022405121170557</v>
      </c>
      <c r="BF193" s="214">
        <f t="shared" si="101"/>
        <v>39.068512110726637</v>
      </c>
      <c r="BG193" s="279">
        <f t="shared" si="87"/>
        <v>37.292905271502185</v>
      </c>
      <c r="BH193" s="221">
        <f t="shared" si="107"/>
        <v>34.086462987561887</v>
      </c>
      <c r="BI193" s="214">
        <f t="shared" si="110"/>
        <v>31.276454293628817</v>
      </c>
      <c r="BJ193" s="272">
        <f t="shared" si="94"/>
        <v>23.328099173553714</v>
      </c>
      <c r="BK193" s="221">
        <f t="shared" si="95"/>
        <v>21.343667296786393</v>
      </c>
      <c r="BL193" s="214">
        <f t="shared" si="97"/>
        <v>18.065280000000001</v>
      </c>
      <c r="BM193" s="264">
        <f t="shared" si="99"/>
        <v>16.702366863905318</v>
      </c>
      <c r="BN193" s="221">
        <f t="shared" si="100"/>
        <v>15.488065843621396</v>
      </c>
      <c r="BO193" s="214">
        <f t="shared" si="103"/>
        <v>14.401530612244896</v>
      </c>
      <c r="BP193" s="221">
        <f t="shared" si="105"/>
        <v>12.545333333333332</v>
      </c>
      <c r="BQ193" s="214">
        <f t="shared" si="109"/>
        <v>11.749011446409986</v>
      </c>
      <c r="BR193" s="252">
        <f t="shared" si="111"/>
        <v>10.368044077134988</v>
      </c>
      <c r="BS193" s="221">
        <f t="shared" si="88"/>
        <v>9.7671280276816592</v>
      </c>
      <c r="BT193" s="214">
        <f t="shared" si="91"/>
        <v>9.2169795918367345</v>
      </c>
      <c r="BU193" s="221">
        <f t="shared" si="96"/>
        <v>6.7167162403331364</v>
      </c>
      <c r="BV193" s="214">
        <f t="shared" si="102"/>
        <v>5.8320247933884284</v>
      </c>
      <c r="BW193" s="221">
        <f t="shared" si="104"/>
        <v>5.5757037037037041</v>
      </c>
      <c r="BX193" s="214">
        <f t="shared" si="108"/>
        <v>5.1112720688094155</v>
      </c>
      <c r="BY193" s="240">
        <f t="shared" ref="BY193:BY225" si="112" xml:space="preserve"> 30*(B193/B$226)^2</f>
        <v>4.5163200000000003</v>
      </c>
      <c r="BZ193" s="284"/>
      <c r="CA193" s="183"/>
      <c r="CB193" s="184"/>
      <c r="CC193" s="183"/>
      <c r="CD193" s="184"/>
      <c r="CE193" s="183"/>
      <c r="CF193" s="184"/>
      <c r="CG193" s="183"/>
      <c r="CH193" s="184"/>
      <c r="CI193" s="183"/>
      <c r="CJ193" s="184"/>
      <c r="CK193" s="183"/>
      <c r="CL193" s="184"/>
      <c r="CM193" s="256"/>
    </row>
    <row r="194" spans="1:91" ht="10.5" customHeight="1">
      <c r="A194" s="179" t="str">
        <f t="shared" si="67"/>
        <v/>
      </c>
      <c r="B194" s="213">
        <v>0.98</v>
      </c>
      <c r="C194" s="212"/>
      <c r="D194" s="212"/>
      <c r="E194" s="212"/>
      <c r="F194" s="212"/>
      <c r="G194" s="270"/>
      <c r="H194" s="211"/>
      <c r="I194" s="210"/>
      <c r="J194" s="210"/>
      <c r="K194" s="210"/>
      <c r="L194" s="210"/>
      <c r="M194" s="210"/>
      <c r="N194" s="210"/>
      <c r="O194" s="210"/>
      <c r="P194" s="210"/>
      <c r="Q194" s="210"/>
      <c r="R194" s="210"/>
      <c r="S194" s="209"/>
      <c r="T194" s="207"/>
      <c r="U194" s="209"/>
      <c r="V194" s="207"/>
      <c r="W194" s="206"/>
      <c r="X194" s="206"/>
      <c r="Y194" s="207"/>
      <c r="Z194" s="206"/>
      <c r="AA194" s="206"/>
      <c r="AB194" s="207"/>
      <c r="AC194" s="206"/>
      <c r="AD194" s="206"/>
      <c r="AE194" s="207"/>
      <c r="AF194" s="206"/>
      <c r="AG194" s="206"/>
      <c r="AH194" s="208"/>
      <c r="AI194" s="206"/>
      <c r="AJ194" s="206"/>
      <c r="AK194" s="207"/>
      <c r="AL194" s="206"/>
      <c r="AM194" s="206"/>
      <c r="AN194" s="207"/>
      <c r="AO194" s="206"/>
      <c r="AP194" s="206"/>
      <c r="AQ194" s="207"/>
      <c r="AR194" s="206"/>
      <c r="AS194" s="206"/>
      <c r="AT194" s="207"/>
      <c r="AU194" s="206"/>
      <c r="AV194" s="206"/>
      <c r="AW194" s="207"/>
      <c r="AX194" s="206"/>
      <c r="AY194" s="206"/>
      <c r="AZ194" s="207"/>
      <c r="BA194" s="226"/>
      <c r="BB194" s="225">
        <f t="shared" si="89"/>
        <v>64.183559812875899</v>
      </c>
      <c r="BC194" s="271">
        <f t="shared" si="106"/>
        <v>60.516698172652809</v>
      </c>
      <c r="BD194" s="219">
        <f t="shared" si="93"/>
        <v>57.155326324142031</v>
      </c>
      <c r="BE194" s="225">
        <f t="shared" si="98"/>
        <v>43.914037494284401</v>
      </c>
      <c r="BF194" s="219">
        <f t="shared" si="101"/>
        <v>39.878200692041517</v>
      </c>
      <c r="BG194" s="276">
        <f t="shared" ref="BG194:BG203" si="113" xml:space="preserve"> 30*(B194/B$183)^2</f>
        <v>38.065794688862461</v>
      </c>
      <c r="BH194" s="225">
        <f t="shared" si="107"/>
        <v>34.792899408284022</v>
      </c>
      <c r="BI194" s="219">
        <f t="shared" si="110"/>
        <v>31.924653739612193</v>
      </c>
      <c r="BJ194" s="269">
        <f t="shared" si="94"/>
        <v>23.811570247933883</v>
      </c>
      <c r="BK194" s="225">
        <f t="shared" si="95"/>
        <v>21.786011342155014</v>
      </c>
      <c r="BL194" s="219">
        <f t="shared" si="97"/>
        <v>18.439680000000003</v>
      </c>
      <c r="BM194" s="262">
        <f t="shared" si="99"/>
        <v>17.048520710059172</v>
      </c>
      <c r="BN194" s="225">
        <f t="shared" si="100"/>
        <v>15.809053497942383</v>
      </c>
      <c r="BO194" s="219">
        <f t="shared" si="103"/>
        <v>14.700000000000003</v>
      </c>
      <c r="BP194" s="225">
        <f t="shared" si="105"/>
        <v>12.805333333333332</v>
      </c>
      <c r="BQ194" s="219">
        <f t="shared" si="109"/>
        <v>11.992507804370444</v>
      </c>
      <c r="BR194" s="251">
        <f t="shared" si="111"/>
        <v>10.582920110192839</v>
      </c>
      <c r="BS194" s="225">
        <f t="shared" si="88"/>
        <v>9.9695501730103793</v>
      </c>
      <c r="BT194" s="219">
        <f t="shared" si="91"/>
        <v>9.4079999999999977</v>
      </c>
      <c r="BU194" s="225">
        <f t="shared" si="96"/>
        <v>6.8559190957763247</v>
      </c>
      <c r="BV194" s="219">
        <f t="shared" si="102"/>
        <v>5.9528925619834707</v>
      </c>
      <c r="BW194" s="225">
        <f t="shared" si="104"/>
        <v>5.691259259259259</v>
      </c>
      <c r="BX194" s="219">
        <f t="shared" si="108"/>
        <v>5.2172023540063375</v>
      </c>
      <c r="BY194" s="202">
        <f t="shared" si="112"/>
        <v>4.6099200000000007</v>
      </c>
      <c r="BZ194" s="283"/>
      <c r="CA194" s="207"/>
      <c r="CB194" s="206"/>
      <c r="CC194" s="207"/>
      <c r="CD194" s="206"/>
      <c r="CE194" s="207"/>
      <c r="CF194" s="206"/>
      <c r="CG194" s="207"/>
      <c r="CH194" s="206"/>
      <c r="CI194" s="207"/>
      <c r="CJ194" s="206"/>
      <c r="CK194" s="207"/>
      <c r="CL194" s="206"/>
      <c r="CM194" s="254"/>
    </row>
    <row r="195" spans="1:91" ht="10.5" customHeight="1" thickBot="1">
      <c r="A195" s="179" t="str">
        <f t="shared" si="67"/>
        <v/>
      </c>
      <c r="B195" s="201">
        <v>0.99</v>
      </c>
      <c r="C195" s="200"/>
      <c r="D195" s="200"/>
      <c r="E195" s="200"/>
      <c r="F195" s="200"/>
      <c r="G195" s="267"/>
      <c r="H195" s="199"/>
      <c r="I195" s="198"/>
      <c r="J195" s="198"/>
      <c r="K195" s="198"/>
      <c r="L195" s="198"/>
      <c r="M195" s="198"/>
      <c r="N195" s="198"/>
      <c r="O195" s="198"/>
      <c r="P195" s="198"/>
      <c r="Q195" s="198"/>
      <c r="R195" s="198"/>
      <c r="S195" s="197"/>
      <c r="T195" s="194"/>
      <c r="U195" s="197"/>
      <c r="V195" s="194"/>
      <c r="W195" s="195"/>
      <c r="X195" s="195"/>
      <c r="Y195" s="194"/>
      <c r="Z195" s="195"/>
      <c r="AA195" s="195"/>
      <c r="AB195" s="194"/>
      <c r="AC195" s="195"/>
      <c r="AD195" s="195"/>
      <c r="AE195" s="194"/>
      <c r="AF195" s="195"/>
      <c r="AG195" s="195"/>
      <c r="AH195" s="196"/>
      <c r="AI195" s="195"/>
      <c r="AJ195" s="195"/>
      <c r="AK195" s="194"/>
      <c r="AL195" s="195"/>
      <c r="AM195" s="195"/>
      <c r="AN195" s="194"/>
      <c r="AO195" s="195"/>
      <c r="AP195" s="195"/>
      <c r="AQ195" s="194"/>
      <c r="AR195" s="195"/>
      <c r="AS195" s="195"/>
      <c r="AT195" s="194"/>
      <c r="AU195" s="195"/>
      <c r="AV195" s="195"/>
      <c r="AW195" s="194"/>
      <c r="AX195" s="195"/>
      <c r="AY195" s="195"/>
      <c r="AZ195" s="194"/>
      <c r="BA195" s="224"/>
      <c r="BB195" s="223">
        <f t="shared" si="89"/>
        <v>65.500111383381579</v>
      </c>
      <c r="BC195" s="181">
        <f t="shared" si="106"/>
        <v>61.75803402646504</v>
      </c>
      <c r="BD195" s="217">
        <f t="shared" si="93"/>
        <v>58.327712755405685</v>
      </c>
      <c r="BE195" s="223">
        <f t="shared" si="98"/>
        <v>44.81481481481481</v>
      </c>
      <c r="BF195" s="217">
        <f t="shared" si="101"/>
        <v>40.696193771626305</v>
      </c>
      <c r="BG195" s="279">
        <f t="shared" si="113"/>
        <v>38.84661117717004</v>
      </c>
      <c r="BH195" s="223">
        <f t="shared" si="107"/>
        <v>35.50658133075715</v>
      </c>
      <c r="BI195" s="217">
        <f t="shared" si="110"/>
        <v>32.57950138504156</v>
      </c>
      <c r="BJ195" s="272">
        <f t="shared" si="94"/>
        <v>24.299999999999994</v>
      </c>
      <c r="BK195" s="223">
        <f t="shared" si="95"/>
        <v>22.23289224952741</v>
      </c>
      <c r="BL195" s="217">
        <f t="shared" si="97"/>
        <v>18.817920000000001</v>
      </c>
      <c r="BM195" s="264">
        <f t="shared" si="99"/>
        <v>17.398224852071003</v>
      </c>
      <c r="BN195" s="223">
        <f t="shared" si="100"/>
        <v>16.133333333333329</v>
      </c>
      <c r="BO195" s="217">
        <f t="shared" si="103"/>
        <v>15.001530612244899</v>
      </c>
      <c r="BP195" s="223">
        <f t="shared" si="105"/>
        <v>13.068000000000001</v>
      </c>
      <c r="BQ195" s="217">
        <f t="shared" si="109"/>
        <v>12.238501560874088</v>
      </c>
      <c r="BR195" s="252">
        <f t="shared" si="111"/>
        <v>10.799999999999999</v>
      </c>
      <c r="BS195" s="223">
        <f t="shared" si="88"/>
        <v>10.174048442906576</v>
      </c>
      <c r="BT195" s="217">
        <f t="shared" si="91"/>
        <v>9.6009795918367367</v>
      </c>
      <c r="BU195" s="223">
        <f t="shared" si="96"/>
        <v>6.9965496728138028</v>
      </c>
      <c r="BV195" s="217">
        <f t="shared" si="102"/>
        <v>6.0749999999999984</v>
      </c>
      <c r="BW195" s="223">
        <f t="shared" si="104"/>
        <v>5.8079999999999998</v>
      </c>
      <c r="BX195" s="217">
        <f t="shared" si="108"/>
        <v>5.3242191036668167</v>
      </c>
      <c r="BY195" s="191">
        <f t="shared" si="112"/>
        <v>4.7044800000000002</v>
      </c>
      <c r="BZ195" s="278" t="s">
        <v>3553</v>
      </c>
      <c r="CA195" s="194"/>
      <c r="CB195" s="195"/>
      <c r="CC195" s="194"/>
      <c r="CD195" s="195"/>
      <c r="CE195" s="194"/>
      <c r="CF195" s="195"/>
      <c r="CG195" s="194"/>
      <c r="CH195" s="195"/>
      <c r="CI195" s="194"/>
      <c r="CJ195" s="195"/>
      <c r="CK195" s="194"/>
      <c r="CL195" s="195"/>
      <c r="CM195" s="258"/>
    </row>
    <row r="196" spans="1:91" ht="10.5" customHeight="1" thickBot="1">
      <c r="A196" s="179" t="str">
        <f t="shared" si="67"/>
        <v/>
      </c>
      <c r="B196" s="190">
        <v>1</v>
      </c>
      <c r="C196" s="189"/>
      <c r="D196" s="189"/>
      <c r="E196" s="189"/>
      <c r="F196" s="189"/>
      <c r="G196" s="273"/>
      <c r="H196" s="245"/>
      <c r="I196" s="187"/>
      <c r="J196" s="187"/>
      <c r="K196" s="187"/>
      <c r="L196" s="187"/>
      <c r="M196" s="187"/>
      <c r="N196" s="187"/>
      <c r="O196" s="187"/>
      <c r="P196" s="187"/>
      <c r="Q196" s="187"/>
      <c r="R196" s="187"/>
      <c r="S196" s="186"/>
      <c r="T196" s="183"/>
      <c r="U196" s="186"/>
      <c r="V196" s="183"/>
      <c r="W196" s="184"/>
      <c r="X196" s="184"/>
      <c r="Y196" s="183"/>
      <c r="Z196" s="184"/>
      <c r="AA196" s="184"/>
      <c r="AB196" s="183"/>
      <c r="AC196" s="184"/>
      <c r="AD196" s="184"/>
      <c r="AE196" s="183"/>
      <c r="AF196" s="184"/>
      <c r="AG196" s="184"/>
      <c r="AH196" s="185"/>
      <c r="AI196" s="184"/>
      <c r="AJ196" s="184"/>
      <c r="AK196" s="183"/>
      <c r="AL196" s="184"/>
      <c r="AM196" s="184"/>
      <c r="AN196" s="183"/>
      <c r="AO196" s="184"/>
      <c r="AP196" s="184"/>
      <c r="AQ196" s="183"/>
      <c r="AR196" s="184"/>
      <c r="AS196" s="184"/>
      <c r="AT196" s="183"/>
      <c r="AU196" s="184"/>
      <c r="AV196" s="184"/>
      <c r="AW196" s="183"/>
      <c r="AX196" s="184"/>
      <c r="AY196" s="184"/>
      <c r="AZ196" s="183"/>
      <c r="BA196" s="182"/>
      <c r="BB196" s="221">
        <f t="shared" si="89"/>
        <v>66.830028959679211</v>
      </c>
      <c r="BC196" s="271">
        <f t="shared" si="106"/>
        <v>63.011972274732216</v>
      </c>
      <c r="BD196" s="214">
        <f t="shared" si="93"/>
        <v>59.51200158698672</v>
      </c>
      <c r="BE196" s="221">
        <f t="shared" si="98"/>
        <v>45.724737082761763</v>
      </c>
      <c r="BF196" s="214">
        <f t="shared" si="101"/>
        <v>41.522491349480973</v>
      </c>
      <c r="BG196" s="276">
        <f t="shared" si="113"/>
        <v>39.635354736424887</v>
      </c>
      <c r="BH196" s="221">
        <f t="shared" si="107"/>
        <v>36.22750875498128</v>
      </c>
      <c r="BI196" s="214">
        <f t="shared" si="110"/>
        <v>33.240997229916893</v>
      </c>
      <c r="BJ196" s="269">
        <f t="shared" si="94"/>
        <v>24.793388429752063</v>
      </c>
      <c r="BK196" s="221">
        <f t="shared" si="95"/>
        <v>22.684310018903595</v>
      </c>
      <c r="BL196" s="214">
        <f t="shared" si="97"/>
        <v>19.200000000000003</v>
      </c>
      <c r="BM196" s="262">
        <f t="shared" si="99"/>
        <v>17.751479289940825</v>
      </c>
      <c r="BN196" s="221">
        <f t="shared" si="100"/>
        <v>16.460905349794235</v>
      </c>
      <c r="BO196" s="214">
        <f t="shared" si="103"/>
        <v>15.306122448979592</v>
      </c>
      <c r="BP196" s="221">
        <f t="shared" si="105"/>
        <v>13.333333333333332</v>
      </c>
      <c r="BQ196" s="214">
        <f t="shared" si="109"/>
        <v>12.486992715920916</v>
      </c>
      <c r="BR196" s="251">
        <f t="shared" si="111"/>
        <v>11.019283746556475</v>
      </c>
      <c r="BS196" s="221">
        <f t="shared" si="88"/>
        <v>10.380622837370243</v>
      </c>
      <c r="BT196" s="214">
        <f t="shared" si="91"/>
        <v>9.7959183673469372</v>
      </c>
      <c r="BU196" s="221">
        <f t="shared" si="96"/>
        <v>7.1386079714455688</v>
      </c>
      <c r="BV196" s="214">
        <f t="shared" si="102"/>
        <v>6.1983471074380159</v>
      </c>
      <c r="BW196" s="221">
        <f t="shared" si="104"/>
        <v>5.9259259259259256</v>
      </c>
      <c r="BX196" s="214">
        <f t="shared" si="108"/>
        <v>5.4323223177908551</v>
      </c>
      <c r="BY196" s="180">
        <f t="shared" si="112"/>
        <v>4.8000000000000007</v>
      </c>
      <c r="BZ196" s="257"/>
      <c r="CA196" s="185"/>
      <c r="CB196" s="184"/>
      <c r="CC196" s="183"/>
      <c r="CD196" s="184"/>
      <c r="CE196" s="183"/>
      <c r="CF196" s="184"/>
      <c r="CG196" s="183"/>
      <c r="CH196" s="184"/>
      <c r="CI196" s="183"/>
      <c r="CJ196" s="184"/>
      <c r="CK196" s="183"/>
      <c r="CL196" s="184"/>
      <c r="CM196" s="256"/>
    </row>
    <row r="197" spans="1:91" ht="10.5" customHeight="1" thickBot="1">
      <c r="A197" s="179" t="str">
        <f t="shared" si="67"/>
        <v/>
      </c>
      <c r="B197" s="190">
        <v>1.05</v>
      </c>
      <c r="C197" s="189"/>
      <c r="D197" s="189"/>
      <c r="E197" s="189"/>
      <c r="F197" s="189"/>
      <c r="G197" s="273"/>
      <c r="H197" s="245"/>
      <c r="I197" s="187"/>
      <c r="J197" s="187"/>
      <c r="K197" s="187"/>
      <c r="L197" s="187"/>
      <c r="M197" s="187"/>
      <c r="N197" s="187"/>
      <c r="O197" s="187"/>
      <c r="P197" s="187"/>
      <c r="Q197" s="187"/>
      <c r="R197" s="187"/>
      <c r="S197" s="186"/>
      <c r="T197" s="183"/>
      <c r="U197" s="186"/>
      <c r="V197" s="183"/>
      <c r="W197" s="184"/>
      <c r="X197" s="184"/>
      <c r="Y197" s="183"/>
      <c r="Z197" s="184"/>
      <c r="AA197" s="184"/>
      <c r="AB197" s="183"/>
      <c r="AC197" s="184"/>
      <c r="AD197" s="184"/>
      <c r="AE197" s="183"/>
      <c r="AF197" s="184"/>
      <c r="AG197" s="184"/>
      <c r="AH197" s="185"/>
      <c r="AI197" s="184"/>
      <c r="AJ197" s="184"/>
      <c r="AK197" s="183"/>
      <c r="AL197" s="184"/>
      <c r="AM197" s="184"/>
      <c r="AN197" s="183"/>
      <c r="AO197" s="184"/>
      <c r="AP197" s="184"/>
      <c r="AQ197" s="183"/>
      <c r="AR197" s="184"/>
      <c r="AS197" s="184"/>
      <c r="AT197" s="183"/>
      <c r="AU197" s="184"/>
      <c r="AV197" s="184"/>
      <c r="AW197" s="183"/>
      <c r="AX197" s="184"/>
      <c r="AY197" s="184"/>
      <c r="AZ197" s="183"/>
      <c r="BA197" s="182"/>
      <c r="BB197" s="220">
        <f t="shared" si="89"/>
        <v>73.680106928046342</v>
      </c>
      <c r="BC197" s="181">
        <f t="shared" si="106"/>
        <v>69.470699432892246</v>
      </c>
      <c r="BD197" s="214">
        <f t="shared" si="93"/>
        <v>65.611981749652855</v>
      </c>
      <c r="BE197" s="221">
        <f t="shared" si="98"/>
        <v>50.411522633744852</v>
      </c>
      <c r="BF197" s="214">
        <f t="shared" si="101"/>
        <v>45.778546712802772</v>
      </c>
      <c r="BG197" s="279">
        <f t="shared" si="113"/>
        <v>43.697978596908435</v>
      </c>
      <c r="BH197" s="221">
        <f t="shared" si="107"/>
        <v>39.940828402366876</v>
      </c>
      <c r="BI197" s="214">
        <f t="shared" si="110"/>
        <v>36.648199445983387</v>
      </c>
      <c r="BJ197" s="272">
        <f t="shared" si="94"/>
        <v>27.334710743801651</v>
      </c>
      <c r="BK197" s="221">
        <f t="shared" si="95"/>
        <v>25.009451795841212</v>
      </c>
      <c r="BL197" s="214">
        <f t="shared" si="97"/>
        <v>21.168000000000003</v>
      </c>
      <c r="BM197" s="264">
        <f t="shared" si="99"/>
        <v>19.571005917159766</v>
      </c>
      <c r="BN197" s="221">
        <f t="shared" si="100"/>
        <v>18.148148148148149</v>
      </c>
      <c r="BO197" s="214">
        <f t="shared" si="103"/>
        <v>16.875000000000007</v>
      </c>
      <c r="BP197" s="221">
        <f t="shared" si="105"/>
        <v>14.700000000000003</v>
      </c>
      <c r="BQ197" s="214">
        <f t="shared" si="109"/>
        <v>13.766909469302812</v>
      </c>
      <c r="BR197" s="252">
        <f t="shared" si="111"/>
        <v>12.148760330578517</v>
      </c>
      <c r="BS197" s="221">
        <f t="shared" si="88"/>
        <v>11.444636678200693</v>
      </c>
      <c r="BT197" s="214">
        <f t="shared" si="91"/>
        <v>10.799999999999999</v>
      </c>
      <c r="BU197" s="221">
        <f t="shared" si="96"/>
        <v>7.8703152885187393</v>
      </c>
      <c r="BV197" s="214">
        <f t="shared" si="102"/>
        <v>6.8336776859504127</v>
      </c>
      <c r="BW197" s="221">
        <f t="shared" si="104"/>
        <v>6.5333333333333341</v>
      </c>
      <c r="BX197" s="214">
        <f t="shared" si="108"/>
        <v>5.9891353553644171</v>
      </c>
      <c r="BY197" s="221">
        <f t="shared" si="112"/>
        <v>5.2920000000000007</v>
      </c>
      <c r="BZ197" s="282">
        <f t="shared" ref="BZ197:BZ227" si="114" xml:space="preserve"> 30*(B197/B$228)^2</f>
        <v>4.8927514792899416</v>
      </c>
      <c r="CA197" s="240">
        <f t="shared" ref="CA197:CA229" si="115" xml:space="preserve"> 30*(B197/B$230)^2</f>
        <v>4.5370370370370372</v>
      </c>
      <c r="CB197" s="257"/>
      <c r="CC197" s="183"/>
      <c r="CD197" s="184"/>
      <c r="CE197" s="183"/>
      <c r="CF197" s="184"/>
      <c r="CG197" s="183"/>
      <c r="CH197" s="184"/>
      <c r="CI197" s="183"/>
      <c r="CJ197" s="184"/>
      <c r="CK197" s="183"/>
      <c r="CL197" s="184"/>
      <c r="CM197" s="256"/>
    </row>
    <row r="198" spans="1:91" ht="10.5" customHeight="1" thickBot="1">
      <c r="A198" s="179" t="str">
        <f t="shared" si="67"/>
        <v/>
      </c>
      <c r="B198" s="213">
        <v>1.1000000000000001</v>
      </c>
      <c r="C198" s="212"/>
      <c r="D198" s="212"/>
      <c r="E198" s="212"/>
      <c r="F198" s="212"/>
      <c r="G198" s="270"/>
      <c r="H198" s="242"/>
      <c r="I198" s="210"/>
      <c r="J198" s="210"/>
      <c r="K198" s="210"/>
      <c r="L198" s="210"/>
      <c r="M198" s="210"/>
      <c r="N198" s="210"/>
      <c r="O198" s="210"/>
      <c r="P198" s="210"/>
      <c r="Q198" s="210"/>
      <c r="R198" s="210"/>
      <c r="S198" s="209"/>
      <c r="T198" s="207"/>
      <c r="U198" s="209"/>
      <c r="V198" s="207"/>
      <c r="W198" s="206"/>
      <c r="X198" s="206"/>
      <c r="Y198" s="207"/>
      <c r="Z198" s="206"/>
      <c r="AA198" s="206"/>
      <c r="AB198" s="207"/>
      <c r="AC198" s="206"/>
      <c r="AD198" s="206"/>
      <c r="AE198" s="207"/>
      <c r="AF198" s="206"/>
      <c r="AG198" s="206"/>
      <c r="AH198" s="208"/>
      <c r="AI198" s="206"/>
      <c r="AJ198" s="206"/>
      <c r="AK198" s="207"/>
      <c r="AL198" s="206"/>
      <c r="AM198" s="206"/>
      <c r="AN198" s="207"/>
      <c r="AO198" s="206"/>
      <c r="AP198" s="206"/>
      <c r="AQ198" s="207"/>
      <c r="AR198" s="206"/>
      <c r="AS198" s="206"/>
      <c r="AT198" s="207"/>
      <c r="AU198" s="206"/>
      <c r="AV198" s="206"/>
      <c r="AW198" s="207"/>
      <c r="AX198" s="206"/>
      <c r="AY198" s="206"/>
      <c r="AZ198" s="207"/>
      <c r="BA198" s="206"/>
      <c r="BB198" s="216"/>
      <c r="BC198" s="281">
        <f t="shared" si="106"/>
        <v>76.244486452425974</v>
      </c>
      <c r="BD198" s="204">
        <f t="shared" si="93"/>
        <v>72.009521920253945</v>
      </c>
      <c r="BE198" s="225">
        <f t="shared" si="98"/>
        <v>55.326931870141749</v>
      </c>
      <c r="BF198" s="219">
        <f t="shared" si="101"/>
        <v>50.242214532871976</v>
      </c>
      <c r="BG198" s="276">
        <f t="shared" si="113"/>
        <v>47.958779231074118</v>
      </c>
      <c r="BH198" s="225">
        <f t="shared" si="107"/>
        <v>43.83528559352736</v>
      </c>
      <c r="BI198" s="219">
        <f t="shared" si="110"/>
        <v>40.221606648199447</v>
      </c>
      <c r="BJ198" s="269">
        <f t="shared" si="94"/>
        <v>30</v>
      </c>
      <c r="BK198" s="225">
        <f t="shared" si="95"/>
        <v>27.448015122873354</v>
      </c>
      <c r="BL198" s="219">
        <f t="shared" si="97"/>
        <v>23.232000000000006</v>
      </c>
      <c r="BM198" s="262">
        <f t="shared" si="99"/>
        <v>21.479289940828401</v>
      </c>
      <c r="BN198" s="225">
        <f t="shared" si="100"/>
        <v>19.917695473251033</v>
      </c>
      <c r="BO198" s="219">
        <f t="shared" si="103"/>
        <v>18.520408163265312</v>
      </c>
      <c r="BP198" s="225">
        <f t="shared" si="105"/>
        <v>16.133333333333336</v>
      </c>
      <c r="BQ198" s="219">
        <f t="shared" si="109"/>
        <v>15.109261186264311</v>
      </c>
      <c r="BR198" s="251">
        <f t="shared" si="111"/>
        <v>13.333333333333336</v>
      </c>
      <c r="BS198" s="225">
        <f t="shared" si="88"/>
        <v>12.560553633217994</v>
      </c>
      <c r="BT198" s="219">
        <f t="shared" si="91"/>
        <v>11.853061224489799</v>
      </c>
      <c r="BU198" s="225">
        <f t="shared" si="96"/>
        <v>8.6377156454491413</v>
      </c>
      <c r="BV198" s="219">
        <f t="shared" si="102"/>
        <v>7.5</v>
      </c>
      <c r="BW198" s="225">
        <f t="shared" si="104"/>
        <v>7.1703703703703718</v>
      </c>
      <c r="BX198" s="219">
        <f t="shared" si="108"/>
        <v>6.5731100045269359</v>
      </c>
      <c r="BY198" s="225">
        <f t="shared" si="112"/>
        <v>5.8080000000000016</v>
      </c>
      <c r="BZ198" s="219">
        <f t="shared" si="114"/>
        <v>5.3698224852071004</v>
      </c>
      <c r="CA198" s="202">
        <f t="shared" si="115"/>
        <v>4.9794238683127583</v>
      </c>
      <c r="CB198" s="255"/>
      <c r="CC198" s="208"/>
      <c r="CD198" s="206"/>
      <c r="CE198" s="207"/>
      <c r="CF198" s="206"/>
      <c r="CG198" s="207"/>
      <c r="CH198" s="206"/>
      <c r="CI198" s="207"/>
      <c r="CJ198" s="206"/>
      <c r="CK198" s="207"/>
      <c r="CL198" s="206"/>
      <c r="CM198" s="254"/>
    </row>
    <row r="199" spans="1:91" ht="10.5" customHeight="1" thickBot="1">
      <c r="A199" s="179" t="str">
        <f t="shared" si="67"/>
        <v/>
      </c>
      <c r="B199" s="201">
        <v>1.1499999999999999</v>
      </c>
      <c r="C199" s="200"/>
      <c r="D199" s="200"/>
      <c r="E199" s="200"/>
      <c r="F199" s="200"/>
      <c r="G199" s="267"/>
      <c r="H199" s="249"/>
      <c r="I199" s="198"/>
      <c r="J199" s="198"/>
      <c r="K199" s="198"/>
      <c r="L199" s="198"/>
      <c r="M199" s="198"/>
      <c r="N199" s="198"/>
      <c r="O199" s="198"/>
      <c r="P199" s="198"/>
      <c r="Q199" s="198"/>
      <c r="R199" s="198"/>
      <c r="S199" s="197"/>
      <c r="T199" s="194"/>
      <c r="U199" s="197"/>
      <c r="V199" s="194"/>
      <c r="W199" s="195"/>
      <c r="X199" s="195"/>
      <c r="Y199" s="194"/>
      <c r="Z199" s="195"/>
      <c r="AA199" s="195"/>
      <c r="AB199" s="194"/>
      <c r="AC199" s="195"/>
      <c r="AD199" s="195"/>
      <c r="AE199" s="194"/>
      <c r="AF199" s="195"/>
      <c r="AG199" s="195"/>
      <c r="AH199" s="196"/>
      <c r="AI199" s="195"/>
      <c r="AJ199" s="195"/>
      <c r="AK199" s="194"/>
      <c r="AL199" s="195"/>
      <c r="AM199" s="195"/>
      <c r="AN199" s="194"/>
      <c r="AO199" s="195"/>
      <c r="AP199" s="195"/>
      <c r="AQ199" s="194"/>
      <c r="AR199" s="195"/>
      <c r="AS199" s="195"/>
      <c r="AT199" s="194"/>
      <c r="AU199" s="195"/>
      <c r="AV199" s="195"/>
      <c r="AW199" s="194"/>
      <c r="AX199" s="195"/>
      <c r="AY199" s="195"/>
      <c r="AZ199" s="194"/>
      <c r="BA199" s="195"/>
      <c r="BB199" s="194"/>
      <c r="BC199" s="193"/>
      <c r="BD199" s="193"/>
      <c r="BE199" s="223">
        <f t="shared" si="98"/>
        <v>60.47096479195244</v>
      </c>
      <c r="BF199" s="217">
        <f t="shared" si="101"/>
        <v>54.913494809688572</v>
      </c>
      <c r="BG199" s="279">
        <f t="shared" si="113"/>
        <v>52.417756638921908</v>
      </c>
      <c r="BH199" s="223">
        <f t="shared" si="107"/>
        <v>47.910880328462738</v>
      </c>
      <c r="BI199" s="217">
        <f t="shared" si="110"/>
        <v>43.961218836565095</v>
      </c>
      <c r="BJ199" s="272">
        <f t="shared" si="94"/>
        <v>32.78925619834709</v>
      </c>
      <c r="BK199" s="238">
        <v>30</v>
      </c>
      <c r="BL199" s="217">
        <f t="shared" si="97"/>
        <v>25.391999999999996</v>
      </c>
      <c r="BM199" s="264">
        <f t="shared" si="99"/>
        <v>23.476331360946737</v>
      </c>
      <c r="BN199" s="223">
        <f t="shared" si="100"/>
        <v>21.769547325102877</v>
      </c>
      <c r="BO199" s="217">
        <f t="shared" si="103"/>
        <v>20.242346938775508</v>
      </c>
      <c r="BP199" s="223">
        <f t="shared" si="105"/>
        <v>17.633333333333333</v>
      </c>
      <c r="BQ199" s="217">
        <f t="shared" si="109"/>
        <v>16.514047866805406</v>
      </c>
      <c r="BR199" s="252">
        <f t="shared" si="111"/>
        <v>14.573002754820934</v>
      </c>
      <c r="BS199" s="223">
        <f t="shared" si="88"/>
        <v>13.728373702422143</v>
      </c>
      <c r="BT199" s="217">
        <f t="shared" si="91"/>
        <v>12.955102040816326</v>
      </c>
      <c r="BU199" s="223">
        <f t="shared" si="96"/>
        <v>9.440809042236765</v>
      </c>
      <c r="BV199" s="217">
        <f t="shared" si="102"/>
        <v>8.1973140495867725</v>
      </c>
      <c r="BW199" s="223">
        <f t="shared" si="104"/>
        <v>7.8370370370370352</v>
      </c>
      <c r="BX199" s="217">
        <f t="shared" si="108"/>
        <v>7.1842462652784045</v>
      </c>
      <c r="BY199" s="223">
        <f t="shared" si="112"/>
        <v>6.347999999999999</v>
      </c>
      <c r="BZ199" s="217">
        <f t="shared" si="114"/>
        <v>5.8690828402366844</v>
      </c>
      <c r="CA199" s="223">
        <f t="shared" si="115"/>
        <v>5.4423868312757193</v>
      </c>
      <c r="CB199" s="280">
        <f t="shared" ref="CB199:CB232" si="116" xml:space="preserve"> 30*(B199/B$233)^2</f>
        <v>4.8845798707294543</v>
      </c>
      <c r="CC199" s="274">
        <f t="shared" ref="CC199:CC234" si="117" xml:space="preserve"> 30*(B199/B$235)^2</f>
        <v>4.5590347601263996</v>
      </c>
      <c r="CD199" s="259"/>
      <c r="CE199" s="194"/>
      <c r="CF199" s="195"/>
      <c r="CG199" s="194"/>
      <c r="CH199" s="195"/>
      <c r="CI199" s="194"/>
      <c r="CJ199" s="195"/>
      <c r="CK199" s="194"/>
      <c r="CL199" s="195"/>
      <c r="CM199" s="258"/>
    </row>
    <row r="200" spans="1:91" ht="10.5" customHeight="1">
      <c r="A200" s="179" t="str">
        <f t="shared" si="67"/>
        <v/>
      </c>
      <c r="B200" s="190">
        <v>1.2</v>
      </c>
      <c r="C200" s="189"/>
      <c r="D200" s="189"/>
      <c r="E200" s="189"/>
      <c r="F200" s="189"/>
      <c r="G200" s="273"/>
      <c r="H200" s="245"/>
      <c r="I200" s="187"/>
      <c r="J200" s="187"/>
      <c r="K200" s="187"/>
      <c r="L200" s="187"/>
      <c r="M200" s="187"/>
      <c r="N200" s="187"/>
      <c r="O200" s="187"/>
      <c r="P200" s="187"/>
      <c r="Q200" s="187"/>
      <c r="R200" s="187"/>
      <c r="S200" s="186"/>
      <c r="T200" s="183"/>
      <c r="U200" s="186"/>
      <c r="V200" s="183"/>
      <c r="W200" s="184"/>
      <c r="X200" s="184"/>
      <c r="Y200" s="183"/>
      <c r="Z200" s="184"/>
      <c r="AA200" s="184"/>
      <c r="AB200" s="183"/>
      <c r="AC200" s="184"/>
      <c r="AD200" s="184"/>
      <c r="AE200" s="183"/>
      <c r="AF200" s="184"/>
      <c r="AG200" s="184"/>
      <c r="AH200" s="185"/>
      <c r="AI200" s="184"/>
      <c r="AJ200" s="184"/>
      <c r="AK200" s="183"/>
      <c r="AL200" s="184"/>
      <c r="AM200" s="184"/>
      <c r="AN200" s="183"/>
      <c r="AO200" s="184"/>
      <c r="AP200" s="184"/>
      <c r="AQ200" s="183"/>
      <c r="AR200" s="184"/>
      <c r="AS200" s="184"/>
      <c r="AT200" s="183"/>
      <c r="AU200" s="184"/>
      <c r="AV200" s="184"/>
      <c r="AW200" s="183"/>
      <c r="AX200" s="184"/>
      <c r="AY200" s="184"/>
      <c r="AZ200" s="183"/>
      <c r="BA200" s="184"/>
      <c r="BB200" s="183"/>
      <c r="BC200" s="232"/>
      <c r="BD200" s="232"/>
      <c r="BE200" s="221">
        <f t="shared" si="98"/>
        <v>65.843621399176939</v>
      </c>
      <c r="BF200" s="214">
        <f t="shared" si="101"/>
        <v>59.792387543252602</v>
      </c>
      <c r="BG200" s="276">
        <f t="shared" si="113"/>
        <v>57.074910820451827</v>
      </c>
      <c r="BH200" s="221">
        <f t="shared" si="107"/>
        <v>52.167612607173048</v>
      </c>
      <c r="BI200" s="214">
        <f t="shared" si="110"/>
        <v>47.86703601108033</v>
      </c>
      <c r="BJ200" s="269">
        <f t="shared" si="94"/>
        <v>35.70247933884297</v>
      </c>
      <c r="BK200" s="221">
        <f t="shared" ref="BK200:BK212" si="118" xml:space="preserve"> 30*(B200/B$199)^2</f>
        <v>32.665406427221171</v>
      </c>
      <c r="BL200" s="214">
        <f t="shared" si="97"/>
        <v>27.648</v>
      </c>
      <c r="BM200" s="262">
        <f t="shared" si="99"/>
        <v>25.562130177514788</v>
      </c>
      <c r="BN200" s="221">
        <f t="shared" si="100"/>
        <v>23.703703703703702</v>
      </c>
      <c r="BO200" s="214">
        <f t="shared" si="103"/>
        <v>22.040816326530617</v>
      </c>
      <c r="BP200" s="221">
        <f t="shared" si="105"/>
        <v>19.199999999999996</v>
      </c>
      <c r="BQ200" s="214">
        <f t="shared" si="109"/>
        <v>17.981269510926118</v>
      </c>
      <c r="BR200" s="251">
        <f t="shared" si="111"/>
        <v>15.867768595041323</v>
      </c>
      <c r="BS200" s="221">
        <f t="shared" si="88"/>
        <v>14.94809688581315</v>
      </c>
      <c r="BT200" s="214">
        <f t="shared" si="91"/>
        <v>14.106122448979592</v>
      </c>
      <c r="BU200" s="221">
        <f t="shared" si="96"/>
        <v>10.279595478881621</v>
      </c>
      <c r="BV200" s="214">
        <f t="shared" si="102"/>
        <v>8.9256198347107425</v>
      </c>
      <c r="BW200" s="221">
        <f t="shared" si="104"/>
        <v>8.5333333333333332</v>
      </c>
      <c r="BX200" s="214">
        <f t="shared" si="108"/>
        <v>7.8225441376188307</v>
      </c>
      <c r="BY200" s="221">
        <f t="shared" si="112"/>
        <v>6.9119999999999999</v>
      </c>
      <c r="BZ200" s="214">
        <f t="shared" si="114"/>
        <v>6.3905325443786971</v>
      </c>
      <c r="CA200" s="221">
        <f t="shared" si="115"/>
        <v>5.9259259259259256</v>
      </c>
      <c r="CB200" s="214">
        <f t="shared" si="116"/>
        <v>5.3185595567867026</v>
      </c>
      <c r="CC200" s="180">
        <f t="shared" si="117"/>
        <v>4.9640907785119213</v>
      </c>
      <c r="CD200" s="257"/>
      <c r="CE200" s="183"/>
      <c r="CF200" s="184"/>
      <c r="CG200" s="183"/>
      <c r="CH200" s="184"/>
      <c r="CI200" s="183"/>
      <c r="CJ200" s="184"/>
      <c r="CK200" s="183"/>
      <c r="CL200" s="184"/>
      <c r="CM200" s="256"/>
    </row>
    <row r="201" spans="1:91" ht="10.5" customHeight="1" thickBot="1">
      <c r="A201" s="179" t="str">
        <f t="shared" si="67"/>
        <v/>
      </c>
      <c r="B201" s="190">
        <v>1.25</v>
      </c>
      <c r="C201" s="189"/>
      <c r="D201" s="189"/>
      <c r="E201" s="189"/>
      <c r="F201" s="189"/>
      <c r="G201" s="273"/>
      <c r="H201" s="245"/>
      <c r="I201" s="187"/>
      <c r="J201" s="187"/>
      <c r="K201" s="187"/>
      <c r="L201" s="187"/>
      <c r="M201" s="187"/>
      <c r="N201" s="187"/>
      <c r="O201" s="187"/>
      <c r="P201" s="187"/>
      <c r="Q201" s="187"/>
      <c r="R201" s="187"/>
      <c r="S201" s="186"/>
      <c r="T201" s="183"/>
      <c r="U201" s="186"/>
      <c r="V201" s="183"/>
      <c r="W201" s="184"/>
      <c r="X201" s="184"/>
      <c r="Y201" s="183"/>
      <c r="Z201" s="184"/>
      <c r="AA201" s="184"/>
      <c r="AB201" s="183"/>
      <c r="AC201" s="184"/>
      <c r="AD201" s="184"/>
      <c r="AE201" s="183"/>
      <c r="AF201" s="184"/>
      <c r="AG201" s="184"/>
      <c r="AH201" s="185"/>
      <c r="AI201" s="184"/>
      <c r="AJ201" s="184"/>
      <c r="AK201" s="183"/>
      <c r="AL201" s="184"/>
      <c r="AM201" s="184"/>
      <c r="AN201" s="183"/>
      <c r="AO201" s="184"/>
      <c r="AP201" s="184"/>
      <c r="AQ201" s="183"/>
      <c r="AR201" s="184"/>
      <c r="AS201" s="184"/>
      <c r="AT201" s="183"/>
      <c r="AU201" s="184"/>
      <c r="AV201" s="184"/>
      <c r="AW201" s="183"/>
      <c r="AX201" s="184"/>
      <c r="AY201" s="184"/>
      <c r="AZ201" s="183"/>
      <c r="BA201" s="184"/>
      <c r="BB201" s="183"/>
      <c r="BC201" s="232"/>
      <c r="BD201" s="232"/>
      <c r="BE201" s="220">
        <f t="shared" si="98"/>
        <v>71.444901691815275</v>
      </c>
      <c r="BF201" s="214">
        <f t="shared" si="101"/>
        <v>64.87889273356403</v>
      </c>
      <c r="BG201" s="279">
        <f t="shared" si="113"/>
        <v>61.930241775663887</v>
      </c>
      <c r="BH201" s="221">
        <f t="shared" si="107"/>
        <v>56.605482429658252</v>
      </c>
      <c r="BI201" s="214">
        <f t="shared" si="110"/>
        <v>51.93905817174516</v>
      </c>
      <c r="BJ201" s="272">
        <f t="shared" si="94"/>
        <v>38.739669421487591</v>
      </c>
      <c r="BK201" s="221">
        <f t="shared" si="118"/>
        <v>35.444234404536871</v>
      </c>
      <c r="BL201" s="237">
        <v>30</v>
      </c>
      <c r="BM201" s="264">
        <f t="shared" si="99"/>
        <v>27.736686390532537</v>
      </c>
      <c r="BN201" s="221">
        <f t="shared" si="100"/>
        <v>25.720164609053494</v>
      </c>
      <c r="BO201" s="214">
        <f t="shared" si="103"/>
        <v>23.915816326530614</v>
      </c>
      <c r="BP201" s="221">
        <f t="shared" si="105"/>
        <v>20.833333333333336</v>
      </c>
      <c r="BQ201" s="214">
        <f t="shared" si="109"/>
        <v>19.510926118626426</v>
      </c>
      <c r="BR201" s="252">
        <f t="shared" si="111"/>
        <v>17.217630853994489</v>
      </c>
      <c r="BS201" s="221">
        <f t="shared" si="88"/>
        <v>16.219723183391007</v>
      </c>
      <c r="BT201" s="214">
        <f t="shared" si="91"/>
        <v>15.306122448979592</v>
      </c>
      <c r="BU201" s="221">
        <f t="shared" si="96"/>
        <v>11.154074955383704</v>
      </c>
      <c r="BV201" s="214">
        <f t="shared" si="102"/>
        <v>9.6849173553718977</v>
      </c>
      <c r="BW201" s="221">
        <f t="shared" si="104"/>
        <v>9.2592592592592595</v>
      </c>
      <c r="BX201" s="214">
        <f t="shared" si="108"/>
        <v>8.4880036215482111</v>
      </c>
      <c r="BY201" s="221">
        <f t="shared" si="112"/>
        <v>7.5</v>
      </c>
      <c r="BZ201" s="214">
        <f t="shared" si="114"/>
        <v>6.9341715976331342</v>
      </c>
      <c r="CA201" s="221">
        <f t="shared" si="115"/>
        <v>6.4300411522633736</v>
      </c>
      <c r="CB201" s="214">
        <f t="shared" si="116"/>
        <v>5.7710064635272378</v>
      </c>
      <c r="CC201" s="180">
        <f t="shared" si="117"/>
        <v>5.3863832232117206</v>
      </c>
      <c r="CD201" s="278" t="s">
        <v>3553</v>
      </c>
      <c r="CE201" s="183"/>
      <c r="CF201" s="184"/>
      <c r="CG201" s="183"/>
      <c r="CH201" s="184"/>
      <c r="CI201" s="183"/>
      <c r="CJ201" s="184"/>
      <c r="CK201" s="183"/>
      <c r="CL201" s="184"/>
      <c r="CM201" s="256"/>
    </row>
    <row r="202" spans="1:91" ht="10.5" customHeight="1" thickBot="1">
      <c r="A202" s="179" t="str">
        <f t="shared" ref="A202:A265" si="119">IF(B202=$A$7,"this row","")</f>
        <v/>
      </c>
      <c r="B202" s="213">
        <v>1.3</v>
      </c>
      <c r="C202" s="212"/>
      <c r="D202" s="212"/>
      <c r="E202" s="212"/>
      <c r="F202" s="212"/>
      <c r="G202" s="270"/>
      <c r="H202" s="242"/>
      <c r="I202" s="210"/>
      <c r="J202" s="210"/>
      <c r="K202" s="210"/>
      <c r="L202" s="210"/>
      <c r="M202" s="210"/>
      <c r="N202" s="210"/>
      <c r="O202" s="210"/>
      <c r="P202" s="210"/>
      <c r="Q202" s="210"/>
      <c r="R202" s="210"/>
      <c r="S202" s="209"/>
      <c r="T202" s="207"/>
      <c r="U202" s="209"/>
      <c r="V202" s="207"/>
      <c r="W202" s="206"/>
      <c r="X202" s="206"/>
      <c r="Y202" s="207"/>
      <c r="Z202" s="206"/>
      <c r="AA202" s="206"/>
      <c r="AB202" s="207"/>
      <c r="AC202" s="206"/>
      <c r="AD202" s="206"/>
      <c r="AE202" s="207"/>
      <c r="AF202" s="206"/>
      <c r="AG202" s="206"/>
      <c r="AH202" s="208"/>
      <c r="AI202" s="206"/>
      <c r="AJ202" s="206"/>
      <c r="AK202" s="207"/>
      <c r="AL202" s="206"/>
      <c r="AM202" s="206"/>
      <c r="AN202" s="207"/>
      <c r="AO202" s="206"/>
      <c r="AP202" s="206"/>
      <c r="AQ202" s="207"/>
      <c r="AR202" s="206"/>
      <c r="AS202" s="206"/>
      <c r="AT202" s="207"/>
      <c r="AU202" s="206"/>
      <c r="AV202" s="206"/>
      <c r="AW202" s="207"/>
      <c r="AX202" s="206"/>
      <c r="AY202" s="206"/>
      <c r="AZ202" s="207"/>
      <c r="BA202" s="206"/>
      <c r="BB202" s="207"/>
      <c r="BC202" s="277"/>
      <c r="BD202" s="277"/>
      <c r="BE202" s="215"/>
      <c r="BF202" s="204">
        <f t="shared" si="101"/>
        <v>70.173010380622841</v>
      </c>
      <c r="BG202" s="276">
        <f t="shared" si="113"/>
        <v>66.983749504558062</v>
      </c>
      <c r="BH202" s="225">
        <f t="shared" si="107"/>
        <v>61.224489795918366</v>
      </c>
      <c r="BI202" s="219">
        <f t="shared" si="110"/>
        <v>56.177285318559562</v>
      </c>
      <c r="BJ202" s="269">
        <f t="shared" si="94"/>
        <v>41.900826446280981</v>
      </c>
      <c r="BK202" s="225">
        <f t="shared" si="118"/>
        <v>38.336483931947079</v>
      </c>
      <c r="BL202" s="219">
        <f t="shared" ref="BL202:BL215" si="120" xml:space="preserve"> 30*(B202/B$201)^2</f>
        <v>32.448</v>
      </c>
      <c r="BM202" s="262">
        <f t="shared" si="99"/>
        <v>30</v>
      </c>
      <c r="BN202" s="225">
        <f t="shared" si="100"/>
        <v>27.81893004115226</v>
      </c>
      <c r="BO202" s="219">
        <f t="shared" si="103"/>
        <v>25.867346938775519</v>
      </c>
      <c r="BP202" s="225">
        <f t="shared" si="105"/>
        <v>22.533333333333335</v>
      </c>
      <c r="BQ202" s="219">
        <f t="shared" si="109"/>
        <v>21.103017689906352</v>
      </c>
      <c r="BR202" s="251">
        <f t="shared" si="111"/>
        <v>18.622589531680443</v>
      </c>
      <c r="BS202" s="225">
        <f t="shared" si="88"/>
        <v>17.54325259515571</v>
      </c>
      <c r="BT202" s="219">
        <f t="shared" si="91"/>
        <v>16.55510204081633</v>
      </c>
      <c r="BU202" s="225">
        <f t="shared" si="96"/>
        <v>12.064247471743014</v>
      </c>
      <c r="BV202" s="219">
        <f t="shared" si="102"/>
        <v>10.475206611570245</v>
      </c>
      <c r="BW202" s="225">
        <f t="shared" si="104"/>
        <v>10.014814814814816</v>
      </c>
      <c r="BX202" s="219">
        <f t="shared" si="108"/>
        <v>9.1806247170665465</v>
      </c>
      <c r="BY202" s="225">
        <f t="shared" si="112"/>
        <v>8.1120000000000001</v>
      </c>
      <c r="BZ202" s="219">
        <f t="shared" si="114"/>
        <v>7.5</v>
      </c>
      <c r="CA202" s="225">
        <f t="shared" si="115"/>
        <v>6.9547325102880651</v>
      </c>
      <c r="CB202" s="219">
        <f t="shared" si="116"/>
        <v>6.2419205909510618</v>
      </c>
      <c r="CC202" s="225">
        <f t="shared" si="117"/>
        <v>5.8259120942257976</v>
      </c>
      <c r="CD202" s="271">
        <f t="shared" ref="CD202:CD240" si="121" xml:space="preserve"> 30*(B202/B$241)^2</f>
        <v>4.8000000000000007</v>
      </c>
      <c r="CE202" s="268"/>
      <c r="CF202" s="206"/>
      <c r="CG202" s="207"/>
      <c r="CH202" s="206"/>
      <c r="CI202" s="207"/>
      <c r="CJ202" s="206"/>
      <c r="CK202" s="207"/>
      <c r="CL202" s="206"/>
      <c r="CM202" s="254"/>
    </row>
    <row r="203" spans="1:91" ht="10.5" customHeight="1" thickBot="1">
      <c r="A203" s="179" t="str">
        <f t="shared" si="119"/>
        <v/>
      </c>
      <c r="B203" s="201">
        <v>1.35</v>
      </c>
      <c r="C203" s="200"/>
      <c r="D203" s="200"/>
      <c r="E203" s="200"/>
      <c r="F203" s="200"/>
      <c r="G203" s="267"/>
      <c r="H203" s="249"/>
      <c r="I203" s="198"/>
      <c r="J203" s="198"/>
      <c r="K203" s="198"/>
      <c r="L203" s="198"/>
      <c r="M203" s="198"/>
      <c r="N203" s="198"/>
      <c r="O203" s="198"/>
      <c r="P203" s="198"/>
      <c r="Q203" s="198"/>
      <c r="R203" s="198"/>
      <c r="S203" s="197"/>
      <c r="T203" s="194"/>
      <c r="U203" s="197"/>
      <c r="V203" s="194"/>
      <c r="W203" s="195"/>
      <c r="X203" s="195"/>
      <c r="Y203" s="194"/>
      <c r="Z203" s="195"/>
      <c r="AA203" s="195"/>
      <c r="AB203" s="194"/>
      <c r="AC203" s="195"/>
      <c r="AD203" s="195"/>
      <c r="AE203" s="194"/>
      <c r="AF203" s="195"/>
      <c r="AG203" s="195"/>
      <c r="AH203" s="196"/>
      <c r="AI203" s="195"/>
      <c r="AJ203" s="195"/>
      <c r="AK203" s="194"/>
      <c r="AL203" s="195"/>
      <c r="AM203" s="195"/>
      <c r="AN203" s="194"/>
      <c r="AO203" s="195"/>
      <c r="AP203" s="195"/>
      <c r="AQ203" s="194"/>
      <c r="AR203" s="195"/>
      <c r="AS203" s="195"/>
      <c r="AT203" s="194"/>
      <c r="AU203" s="195"/>
      <c r="AV203" s="195"/>
      <c r="AW203" s="194"/>
      <c r="AX203" s="195"/>
      <c r="AY203" s="195"/>
      <c r="AZ203" s="194"/>
      <c r="BA203" s="195"/>
      <c r="BB203" s="194"/>
      <c r="BC203" s="195"/>
      <c r="BD203" s="195"/>
      <c r="BE203" s="194"/>
      <c r="BF203" s="193"/>
      <c r="BG203" s="275">
        <f t="shared" si="113"/>
        <v>72.235434007134387</v>
      </c>
      <c r="BH203" s="223">
        <f t="shared" si="107"/>
        <v>66.024634705953403</v>
      </c>
      <c r="BI203" s="217">
        <f t="shared" si="110"/>
        <v>60.581717451523559</v>
      </c>
      <c r="BJ203" s="272">
        <f t="shared" si="94"/>
        <v>45.185950413223139</v>
      </c>
      <c r="BK203" s="223">
        <f t="shared" si="118"/>
        <v>41.342155009451801</v>
      </c>
      <c r="BL203" s="217">
        <f t="shared" si="120"/>
        <v>34.992000000000004</v>
      </c>
      <c r="BM203" s="264">
        <f t="shared" si="99"/>
        <v>32.352071005917168</v>
      </c>
      <c r="BN203" s="238">
        <v>30</v>
      </c>
      <c r="BO203" s="217">
        <f t="shared" si="103"/>
        <v>27.895408163265316</v>
      </c>
      <c r="BP203" s="223">
        <f t="shared" si="105"/>
        <v>24.3</v>
      </c>
      <c r="BQ203" s="217">
        <f t="shared" si="109"/>
        <v>22.757544224765869</v>
      </c>
      <c r="BR203" s="252">
        <f t="shared" si="111"/>
        <v>20.082644628099178</v>
      </c>
      <c r="BS203" s="223">
        <f t="shared" si="88"/>
        <v>18.918685121107266</v>
      </c>
      <c r="BT203" s="217">
        <f t="shared" si="91"/>
        <v>17.853061224489796</v>
      </c>
      <c r="BU203" s="223">
        <f t="shared" si="96"/>
        <v>13.010113027959553</v>
      </c>
      <c r="BV203" s="217">
        <f t="shared" si="102"/>
        <v>11.296487603305785</v>
      </c>
      <c r="BW203" s="223">
        <f t="shared" si="104"/>
        <v>10.800000000000002</v>
      </c>
      <c r="BX203" s="217">
        <f t="shared" si="108"/>
        <v>9.9004074241738351</v>
      </c>
      <c r="BY203" s="223">
        <f t="shared" si="112"/>
        <v>8.7480000000000011</v>
      </c>
      <c r="BZ203" s="217">
        <f t="shared" si="114"/>
        <v>8.0880177514792919</v>
      </c>
      <c r="CA203" s="223">
        <f t="shared" si="115"/>
        <v>7.5</v>
      </c>
      <c r="CB203" s="217">
        <f t="shared" si="116"/>
        <v>6.7313019390581728</v>
      </c>
      <c r="CC203" s="223">
        <f t="shared" si="117"/>
        <v>6.2826773915541505</v>
      </c>
      <c r="CD203" s="217">
        <f t="shared" si="121"/>
        <v>5.1763313609467456</v>
      </c>
      <c r="CE203" s="274">
        <f t="shared" ref="CE203:CE244" si="122" xml:space="preserve"> 30*(B203/B$245)^2</f>
        <v>4.5935727788279781</v>
      </c>
      <c r="CF203" s="257"/>
      <c r="CG203" s="194"/>
      <c r="CH203" s="195"/>
      <c r="CI203" s="194"/>
      <c r="CJ203" s="195"/>
      <c r="CK203" s="194"/>
      <c r="CL203" s="195"/>
      <c r="CM203" s="258"/>
    </row>
    <row r="204" spans="1:91" ht="10.5" customHeight="1" thickBot="1">
      <c r="A204" s="179" t="str">
        <f t="shared" si="119"/>
        <v/>
      </c>
      <c r="B204" s="190">
        <v>1.4</v>
      </c>
      <c r="C204" s="189"/>
      <c r="D204" s="189"/>
      <c r="E204" s="189"/>
      <c r="F204" s="189"/>
      <c r="G204" s="273"/>
      <c r="H204" s="245"/>
      <c r="I204" s="187"/>
      <c r="J204" s="187"/>
      <c r="K204" s="187"/>
      <c r="L204" s="187"/>
      <c r="M204" s="187"/>
      <c r="N204" s="187"/>
      <c r="O204" s="187"/>
      <c r="P204" s="187"/>
      <c r="Q204" s="187"/>
      <c r="R204" s="187"/>
      <c r="S204" s="186"/>
      <c r="T204" s="183"/>
      <c r="U204" s="186"/>
      <c r="V204" s="183"/>
      <c r="W204" s="184"/>
      <c r="X204" s="184"/>
      <c r="Y204" s="183"/>
      <c r="Z204" s="184"/>
      <c r="AA204" s="184"/>
      <c r="AB204" s="183"/>
      <c r="AC204" s="184"/>
      <c r="AD204" s="184"/>
      <c r="AE204" s="183"/>
      <c r="AF204" s="184"/>
      <c r="AG204" s="184"/>
      <c r="AH204" s="185"/>
      <c r="AI204" s="184"/>
      <c r="AJ204" s="184"/>
      <c r="AK204" s="183"/>
      <c r="AL204" s="184"/>
      <c r="AM204" s="184"/>
      <c r="AN204" s="183"/>
      <c r="AO204" s="184"/>
      <c r="AP204" s="184"/>
      <c r="AQ204" s="183"/>
      <c r="AR204" s="184"/>
      <c r="AS204" s="184"/>
      <c r="AT204" s="183"/>
      <c r="AU204" s="184"/>
      <c r="AV204" s="184"/>
      <c r="AW204" s="183"/>
      <c r="AX204" s="184"/>
      <c r="AY204" s="184"/>
      <c r="AZ204" s="183"/>
      <c r="BA204" s="184"/>
      <c r="BB204" s="183"/>
      <c r="BC204" s="184"/>
      <c r="BD204" s="184"/>
      <c r="BE204" s="183"/>
      <c r="BF204" s="182"/>
      <c r="BG204" s="265"/>
      <c r="BH204" s="220">
        <f t="shared" si="107"/>
        <v>71.0059171597633</v>
      </c>
      <c r="BI204" s="214">
        <f t="shared" si="110"/>
        <v>65.152354570637115</v>
      </c>
      <c r="BJ204" s="269">
        <f t="shared" ref="BJ204:BJ211" si="123" xml:space="preserve"> 30*(B204/B$198)^2</f>
        <v>48.595041322314032</v>
      </c>
      <c r="BK204" s="221">
        <f t="shared" si="118"/>
        <v>44.461247637051045</v>
      </c>
      <c r="BL204" s="214">
        <f t="shared" si="120"/>
        <v>37.631999999999991</v>
      </c>
      <c r="BM204" s="262">
        <f t="shared" si="99"/>
        <v>34.792899408284022</v>
      </c>
      <c r="BN204" s="221">
        <f t="shared" ref="BN204:BN218" si="124" xml:space="preserve"> 30*(B204/B$203)^2</f>
        <v>32.2633744855967</v>
      </c>
      <c r="BO204" s="237">
        <v>30</v>
      </c>
      <c r="BP204" s="221">
        <f t="shared" si="105"/>
        <v>26.133333333333329</v>
      </c>
      <c r="BQ204" s="214">
        <f t="shared" si="109"/>
        <v>24.474505723204988</v>
      </c>
      <c r="BR204" s="251">
        <f t="shared" si="111"/>
        <v>21.59779614325069</v>
      </c>
      <c r="BS204" s="221">
        <f t="shared" si="88"/>
        <v>20.346020761245672</v>
      </c>
      <c r="BT204" s="214">
        <f t="shared" si="91"/>
        <v>19.199999999999996</v>
      </c>
      <c r="BU204" s="221">
        <f t="shared" si="96"/>
        <v>13.991671624033316</v>
      </c>
      <c r="BV204" s="214">
        <f t="shared" si="102"/>
        <v>12.148760330578508</v>
      </c>
      <c r="BW204" s="221">
        <f t="shared" si="104"/>
        <v>11.614814814814816</v>
      </c>
      <c r="BX204" s="214">
        <f t="shared" si="108"/>
        <v>10.647351742870075</v>
      </c>
      <c r="BY204" s="221">
        <f t="shared" si="112"/>
        <v>9.4079999999999977</v>
      </c>
      <c r="BZ204" s="214">
        <f t="shared" si="114"/>
        <v>8.6982248520710055</v>
      </c>
      <c r="CA204" s="221">
        <f t="shared" si="115"/>
        <v>8.0658436213991749</v>
      </c>
      <c r="CB204" s="214">
        <f t="shared" si="116"/>
        <v>7.2391505078485681</v>
      </c>
      <c r="CC204" s="221">
        <f t="shared" si="117"/>
        <v>6.7566791151967811</v>
      </c>
      <c r="CD204" s="214">
        <f t="shared" si="121"/>
        <v>5.5668639053254427</v>
      </c>
      <c r="CE204" s="221">
        <f t="shared" si="122"/>
        <v>4.940138626339003</v>
      </c>
      <c r="CF204" s="271">
        <f t="shared" ref="CF204:CF247" si="125" xml:space="preserve"> 30*(B204/B$248)^2</f>
        <v>4.5370370370370354</v>
      </c>
      <c r="CG204" s="261"/>
      <c r="CH204" s="184"/>
      <c r="CI204" s="183"/>
      <c r="CJ204" s="184"/>
      <c r="CK204" s="183"/>
      <c r="CL204" s="184"/>
      <c r="CM204" s="256"/>
    </row>
    <row r="205" spans="1:91" ht="10.5" customHeight="1" thickBot="1">
      <c r="A205" s="179" t="str">
        <f t="shared" si="119"/>
        <v/>
      </c>
      <c r="B205" s="190">
        <v>1.45</v>
      </c>
      <c r="C205" s="189"/>
      <c r="D205" s="189"/>
      <c r="E205" s="189"/>
      <c r="F205" s="189"/>
      <c r="G205" s="273"/>
      <c r="H205" s="245"/>
      <c r="I205" s="187"/>
      <c r="J205" s="187"/>
      <c r="K205" s="187"/>
      <c r="L205" s="187"/>
      <c r="M205" s="187"/>
      <c r="N205" s="187"/>
      <c r="O205" s="187"/>
      <c r="P205" s="187"/>
      <c r="Q205" s="187"/>
      <c r="R205" s="187"/>
      <c r="S205" s="186"/>
      <c r="T205" s="183"/>
      <c r="U205" s="186"/>
      <c r="V205" s="183"/>
      <c r="W205" s="184"/>
      <c r="X205" s="184"/>
      <c r="Y205" s="183"/>
      <c r="Z205" s="184"/>
      <c r="AA205" s="184"/>
      <c r="AB205" s="183"/>
      <c r="AC205" s="184"/>
      <c r="AD205" s="184"/>
      <c r="AE205" s="183"/>
      <c r="AF205" s="184"/>
      <c r="AG205" s="184"/>
      <c r="AH205" s="185"/>
      <c r="AI205" s="184"/>
      <c r="AJ205" s="184"/>
      <c r="AK205" s="183"/>
      <c r="AL205" s="184"/>
      <c r="AM205" s="184"/>
      <c r="AN205" s="183"/>
      <c r="AO205" s="184"/>
      <c r="AP205" s="184"/>
      <c r="AQ205" s="183"/>
      <c r="AR205" s="184"/>
      <c r="AS205" s="184"/>
      <c r="AT205" s="183"/>
      <c r="AU205" s="184"/>
      <c r="AV205" s="184"/>
      <c r="AW205" s="183"/>
      <c r="AX205" s="184"/>
      <c r="AY205" s="184"/>
      <c r="AZ205" s="183"/>
      <c r="BA205" s="184"/>
      <c r="BB205" s="183"/>
      <c r="BC205" s="184"/>
      <c r="BD205" s="184"/>
      <c r="BE205" s="183"/>
      <c r="BF205" s="184"/>
      <c r="BG205" s="182"/>
      <c r="BH205" s="216"/>
      <c r="BI205" s="227">
        <f t="shared" si="110"/>
        <v>69.88919667590028</v>
      </c>
      <c r="BJ205" s="272">
        <f t="shared" si="123"/>
        <v>52.128099173553714</v>
      </c>
      <c r="BK205" s="221">
        <f t="shared" si="118"/>
        <v>47.693761814744803</v>
      </c>
      <c r="BL205" s="214">
        <f t="shared" si="120"/>
        <v>40.367999999999995</v>
      </c>
      <c r="BM205" s="264">
        <f t="shared" si="99"/>
        <v>37.322485207100591</v>
      </c>
      <c r="BN205" s="221">
        <f t="shared" si="124"/>
        <v>34.609053497942384</v>
      </c>
      <c r="BO205" s="214">
        <f t="shared" ref="BO205:BO219" si="126" xml:space="preserve"> 30*(B205/B$204)^2</f>
        <v>32.181122448979593</v>
      </c>
      <c r="BP205" s="221">
        <f t="shared" si="105"/>
        <v>28.033333333333331</v>
      </c>
      <c r="BQ205" s="214">
        <f t="shared" si="109"/>
        <v>26.253902185223723</v>
      </c>
      <c r="BR205" s="252">
        <f t="shared" si="111"/>
        <v>23.168044077134986</v>
      </c>
      <c r="BS205" s="221">
        <f t="shared" si="88"/>
        <v>21.825259515570934</v>
      </c>
      <c r="BT205" s="214">
        <f t="shared" si="91"/>
        <v>20.595918367346936</v>
      </c>
      <c r="BU205" s="221">
        <f t="shared" si="96"/>
        <v>15.008923259964309</v>
      </c>
      <c r="BV205" s="214">
        <f t="shared" si="102"/>
        <v>13.032024793388429</v>
      </c>
      <c r="BW205" s="221">
        <f t="shared" si="104"/>
        <v>12.459259259259255</v>
      </c>
      <c r="BX205" s="214">
        <f t="shared" si="108"/>
        <v>11.421457673155274</v>
      </c>
      <c r="BY205" s="221">
        <f t="shared" si="112"/>
        <v>10.091999999999999</v>
      </c>
      <c r="BZ205" s="214">
        <f t="shared" si="114"/>
        <v>9.3306213017751478</v>
      </c>
      <c r="CA205" s="221">
        <f t="shared" si="115"/>
        <v>8.6522633744855959</v>
      </c>
      <c r="CB205" s="214">
        <f t="shared" si="116"/>
        <v>7.7654662973222504</v>
      </c>
      <c r="CC205" s="221">
        <f t="shared" si="117"/>
        <v>7.2479172651536903</v>
      </c>
      <c r="CD205" s="214">
        <f t="shared" si="121"/>
        <v>5.9715976331360938</v>
      </c>
      <c r="CE205" s="221">
        <f t="shared" si="122"/>
        <v>5.2993068683049778</v>
      </c>
      <c r="CF205" s="181">
        <f t="shared" si="125"/>
        <v>4.866898148148147</v>
      </c>
      <c r="CG205" s="261"/>
      <c r="CH205" s="184"/>
      <c r="CI205" s="183"/>
      <c r="CJ205" s="184"/>
      <c r="CK205" s="183"/>
      <c r="CL205" s="184"/>
      <c r="CM205" s="256"/>
    </row>
    <row r="206" spans="1:91" ht="10.5" customHeight="1">
      <c r="A206" s="179" t="str">
        <f t="shared" si="119"/>
        <v/>
      </c>
      <c r="B206" s="213">
        <v>1.5</v>
      </c>
      <c r="C206" s="212"/>
      <c r="D206" s="212"/>
      <c r="E206" s="212"/>
      <c r="F206" s="212"/>
      <c r="G206" s="270"/>
      <c r="H206" s="242"/>
      <c r="I206" s="210"/>
      <c r="J206" s="210"/>
      <c r="K206" s="210"/>
      <c r="L206" s="210"/>
      <c r="M206" s="210"/>
      <c r="N206" s="210"/>
      <c r="O206" s="210"/>
      <c r="P206" s="210"/>
      <c r="Q206" s="210"/>
      <c r="R206" s="210"/>
      <c r="S206" s="209"/>
      <c r="T206" s="207"/>
      <c r="U206" s="209"/>
      <c r="V206" s="207"/>
      <c r="W206" s="206"/>
      <c r="X206" s="206"/>
      <c r="Y206" s="207"/>
      <c r="Z206" s="206"/>
      <c r="AA206" s="206"/>
      <c r="AB206" s="207"/>
      <c r="AC206" s="206"/>
      <c r="AD206" s="206"/>
      <c r="AE206" s="207"/>
      <c r="AF206" s="206"/>
      <c r="AG206" s="206"/>
      <c r="AH206" s="208"/>
      <c r="AI206" s="206"/>
      <c r="AJ206" s="206"/>
      <c r="AK206" s="207"/>
      <c r="AL206" s="206"/>
      <c r="AM206" s="206"/>
      <c r="AN206" s="207"/>
      <c r="AO206" s="206"/>
      <c r="AP206" s="206"/>
      <c r="AQ206" s="207"/>
      <c r="AR206" s="206"/>
      <c r="AS206" s="206"/>
      <c r="AT206" s="207"/>
      <c r="AU206" s="206"/>
      <c r="AV206" s="206"/>
      <c r="AW206" s="207"/>
      <c r="AX206" s="206"/>
      <c r="AY206" s="206"/>
      <c r="AZ206" s="207"/>
      <c r="BA206" s="206"/>
      <c r="BB206" s="207"/>
      <c r="BC206" s="206"/>
      <c r="BD206" s="206"/>
      <c r="BE206" s="207"/>
      <c r="BF206" s="206"/>
      <c r="BG206" s="206"/>
      <c r="BH206" s="207"/>
      <c r="BI206" s="232"/>
      <c r="BJ206" s="269">
        <f t="shared" si="123"/>
        <v>55.785123966942145</v>
      </c>
      <c r="BK206" s="225">
        <f t="shared" si="118"/>
        <v>51.039697542533084</v>
      </c>
      <c r="BL206" s="219">
        <f t="shared" si="120"/>
        <v>43.199999999999996</v>
      </c>
      <c r="BM206" s="262">
        <f t="shared" si="99"/>
        <v>39.940828402366854</v>
      </c>
      <c r="BN206" s="225">
        <f t="shared" si="124"/>
        <v>37.037037037037031</v>
      </c>
      <c r="BO206" s="219">
        <f t="shared" si="126"/>
        <v>34.438775510204081</v>
      </c>
      <c r="BP206" s="241">
        <v>30</v>
      </c>
      <c r="BQ206" s="219">
        <f t="shared" si="109"/>
        <v>28.095733610822055</v>
      </c>
      <c r="BR206" s="251">
        <f t="shared" si="111"/>
        <v>24.793388429752071</v>
      </c>
      <c r="BS206" s="225">
        <f t="shared" si="88"/>
        <v>23.356401384083043</v>
      </c>
      <c r="BT206" s="219">
        <f t="shared" si="91"/>
        <v>22.04081632653061</v>
      </c>
      <c r="BU206" s="225">
        <f t="shared" si="96"/>
        <v>16.061867935752531</v>
      </c>
      <c r="BV206" s="219">
        <f t="shared" si="102"/>
        <v>13.946280991735536</v>
      </c>
      <c r="BW206" s="225">
        <f t="shared" si="104"/>
        <v>13.333333333333332</v>
      </c>
      <c r="BX206" s="219">
        <f t="shared" si="108"/>
        <v>12.222725215029422</v>
      </c>
      <c r="BY206" s="225">
        <f t="shared" si="112"/>
        <v>10.799999999999999</v>
      </c>
      <c r="BZ206" s="219">
        <f t="shared" si="114"/>
        <v>9.9852071005917136</v>
      </c>
      <c r="CA206" s="225">
        <f t="shared" si="115"/>
        <v>9.2592592592592577</v>
      </c>
      <c r="CB206" s="219">
        <f t="shared" si="116"/>
        <v>8.3102493074792232</v>
      </c>
      <c r="CC206" s="225">
        <f t="shared" si="117"/>
        <v>7.7563918414248771</v>
      </c>
      <c r="CD206" s="219">
        <f t="shared" si="121"/>
        <v>6.3905325443786989</v>
      </c>
      <c r="CE206" s="225">
        <f t="shared" si="122"/>
        <v>5.6710775047258979</v>
      </c>
      <c r="CF206" s="219">
        <f t="shared" si="125"/>
        <v>5.2083333333333321</v>
      </c>
      <c r="CG206" s="240">
        <f t="shared" ref="CG206:CG251" si="127" xml:space="preserve"> 30*(B206/B$252)^2</f>
        <v>4.674515235457064</v>
      </c>
      <c r="CH206" s="255"/>
      <c r="CI206" s="207"/>
      <c r="CJ206" s="206"/>
      <c r="CK206" s="207"/>
      <c r="CL206" s="206"/>
      <c r="CM206" s="254"/>
    </row>
    <row r="207" spans="1:91" ht="10.5" customHeight="1">
      <c r="A207" s="179" t="str">
        <f t="shared" si="119"/>
        <v/>
      </c>
      <c r="B207" s="201">
        <v>1.55</v>
      </c>
      <c r="C207" s="200"/>
      <c r="D207" s="200"/>
      <c r="E207" s="200"/>
      <c r="F207" s="200"/>
      <c r="G207" s="267"/>
      <c r="H207" s="249"/>
      <c r="I207" s="198"/>
      <c r="J207" s="198"/>
      <c r="K207" s="198"/>
      <c r="L207" s="198"/>
      <c r="M207" s="198"/>
      <c r="N207" s="198"/>
      <c r="O207" s="198"/>
      <c r="P207" s="198"/>
      <c r="Q207" s="198"/>
      <c r="R207" s="198"/>
      <c r="S207" s="197"/>
      <c r="T207" s="194"/>
      <c r="U207" s="197"/>
      <c r="V207" s="194"/>
      <c r="W207" s="195"/>
      <c r="X207" s="195"/>
      <c r="Y207" s="194"/>
      <c r="Z207" s="195"/>
      <c r="AA207" s="195"/>
      <c r="AB207" s="194"/>
      <c r="AC207" s="195"/>
      <c r="AD207" s="195"/>
      <c r="AE207" s="194"/>
      <c r="AF207" s="195"/>
      <c r="AG207" s="195"/>
      <c r="AH207" s="196"/>
      <c r="AI207" s="195"/>
      <c r="AJ207" s="195"/>
      <c r="AK207" s="194"/>
      <c r="AL207" s="195"/>
      <c r="AM207" s="195"/>
      <c r="AN207" s="194"/>
      <c r="AO207" s="195"/>
      <c r="AP207" s="195"/>
      <c r="AQ207" s="194"/>
      <c r="AR207" s="195"/>
      <c r="AS207" s="195"/>
      <c r="AT207" s="194"/>
      <c r="AU207" s="195"/>
      <c r="AV207" s="195"/>
      <c r="AW207" s="194"/>
      <c r="AX207" s="195"/>
      <c r="AY207" s="195"/>
      <c r="AZ207" s="194"/>
      <c r="BA207" s="195"/>
      <c r="BB207" s="194"/>
      <c r="BC207" s="195"/>
      <c r="BD207" s="195"/>
      <c r="BE207" s="194"/>
      <c r="BF207" s="195"/>
      <c r="BG207" s="195"/>
      <c r="BH207" s="194"/>
      <c r="BI207" s="224"/>
      <c r="BJ207" s="272">
        <f t="shared" si="123"/>
        <v>59.566115702479323</v>
      </c>
      <c r="BK207" s="223">
        <f t="shared" si="118"/>
        <v>54.499054820415893</v>
      </c>
      <c r="BL207" s="217">
        <f t="shared" si="120"/>
        <v>46.128</v>
      </c>
      <c r="BM207" s="264">
        <f t="shared" si="99"/>
        <v>42.647928994082839</v>
      </c>
      <c r="BN207" s="223">
        <f t="shared" si="124"/>
        <v>39.547325102880656</v>
      </c>
      <c r="BO207" s="217">
        <f t="shared" si="126"/>
        <v>36.772959183673478</v>
      </c>
      <c r="BP207" s="223">
        <f t="shared" ref="BP207:BP222" si="128" xml:space="preserve"> 30*(B207/B$206)^2</f>
        <v>32.033333333333339</v>
      </c>
      <c r="BQ207" s="234">
        <v>30</v>
      </c>
      <c r="BR207" s="252">
        <f t="shared" si="111"/>
        <v>26.473829201101932</v>
      </c>
      <c r="BS207" s="223">
        <f t="shared" si="88"/>
        <v>24.939446366782011</v>
      </c>
      <c r="BT207" s="217">
        <f t="shared" si="91"/>
        <v>23.534693877551021</v>
      </c>
      <c r="BU207" s="223">
        <f t="shared" si="96"/>
        <v>17.150505651397982</v>
      </c>
      <c r="BV207" s="217">
        <f t="shared" si="102"/>
        <v>14.891528925619831</v>
      </c>
      <c r="BW207" s="223">
        <f t="shared" si="104"/>
        <v>14.237037037037036</v>
      </c>
      <c r="BX207" s="217">
        <f t="shared" si="108"/>
        <v>13.051154368492529</v>
      </c>
      <c r="BY207" s="223">
        <f t="shared" si="112"/>
        <v>11.532</v>
      </c>
      <c r="BZ207" s="217">
        <f t="shared" si="114"/>
        <v>10.66198224852071</v>
      </c>
      <c r="CA207" s="223">
        <f t="shared" si="115"/>
        <v>9.886831275720164</v>
      </c>
      <c r="CB207" s="217">
        <f t="shared" si="116"/>
        <v>8.8734995383194839</v>
      </c>
      <c r="CC207" s="223">
        <f t="shared" si="117"/>
        <v>8.2821028440103408</v>
      </c>
      <c r="CD207" s="217">
        <f t="shared" si="121"/>
        <v>6.8236686390532553</v>
      </c>
      <c r="CE207" s="223">
        <f t="shared" si="122"/>
        <v>6.0554505356017643</v>
      </c>
      <c r="CF207" s="217">
        <f t="shared" si="125"/>
        <v>5.5613425925925934</v>
      </c>
      <c r="CG207" s="191">
        <f t="shared" si="127"/>
        <v>4.9913434903047103</v>
      </c>
      <c r="CH207" s="259"/>
      <c r="CI207" s="194"/>
      <c r="CJ207" s="195"/>
      <c r="CK207" s="194"/>
      <c r="CL207" s="195"/>
      <c r="CM207" s="258"/>
    </row>
    <row r="208" spans="1:91" ht="10.5" customHeight="1" thickBot="1">
      <c r="A208" s="179" t="str">
        <f t="shared" si="119"/>
        <v/>
      </c>
      <c r="B208" s="190">
        <v>1.6</v>
      </c>
      <c r="C208" s="189"/>
      <c r="D208" s="189"/>
      <c r="E208" s="189"/>
      <c r="F208" s="189"/>
      <c r="G208" s="273"/>
      <c r="H208" s="245"/>
      <c r="I208" s="187"/>
      <c r="J208" s="187"/>
      <c r="K208" s="187"/>
      <c r="L208" s="187"/>
      <c r="M208" s="187"/>
      <c r="N208" s="187"/>
      <c r="O208" s="187"/>
      <c r="P208" s="187"/>
      <c r="Q208" s="187"/>
      <c r="R208" s="187"/>
      <c r="S208" s="186"/>
      <c r="T208" s="183"/>
      <c r="U208" s="186"/>
      <c r="V208" s="183"/>
      <c r="W208" s="184"/>
      <c r="X208" s="184"/>
      <c r="Y208" s="183"/>
      <c r="Z208" s="184"/>
      <c r="AA208" s="184"/>
      <c r="AB208" s="183"/>
      <c r="AC208" s="184"/>
      <c r="AD208" s="184"/>
      <c r="AE208" s="183"/>
      <c r="AF208" s="184"/>
      <c r="AG208" s="184"/>
      <c r="AH208" s="185"/>
      <c r="AI208" s="184"/>
      <c r="AJ208" s="184"/>
      <c r="AK208" s="183"/>
      <c r="AL208" s="184"/>
      <c r="AM208" s="184"/>
      <c r="AN208" s="183"/>
      <c r="AO208" s="184"/>
      <c r="AP208" s="184"/>
      <c r="AQ208" s="183"/>
      <c r="AR208" s="184"/>
      <c r="AS208" s="184"/>
      <c r="AT208" s="183"/>
      <c r="AU208" s="184"/>
      <c r="AV208" s="184"/>
      <c r="AW208" s="183"/>
      <c r="AX208" s="184"/>
      <c r="AY208" s="184"/>
      <c r="AZ208" s="183"/>
      <c r="BA208" s="184"/>
      <c r="BB208" s="183"/>
      <c r="BC208" s="184"/>
      <c r="BD208" s="184"/>
      <c r="BE208" s="183"/>
      <c r="BF208" s="184"/>
      <c r="BG208" s="184"/>
      <c r="BH208" s="183"/>
      <c r="BI208" s="182"/>
      <c r="BJ208" s="269">
        <f t="shared" si="123"/>
        <v>63.471074380165291</v>
      </c>
      <c r="BK208" s="221">
        <f t="shared" si="118"/>
        <v>58.071833648393209</v>
      </c>
      <c r="BL208" s="214">
        <f t="shared" si="120"/>
        <v>49.152000000000001</v>
      </c>
      <c r="BM208" s="262">
        <f t="shared" si="99"/>
        <v>45.443786982248525</v>
      </c>
      <c r="BN208" s="221">
        <f t="shared" si="124"/>
        <v>42.139917695473251</v>
      </c>
      <c r="BO208" s="214">
        <f t="shared" si="126"/>
        <v>39.183673469387763</v>
      </c>
      <c r="BP208" s="221">
        <f t="shared" si="128"/>
        <v>34.133333333333333</v>
      </c>
      <c r="BQ208" s="214">
        <f t="shared" ref="BQ208:BQ224" si="129" xml:space="preserve"> 30*(B208/B$207)^2</f>
        <v>31.966701352757539</v>
      </c>
      <c r="BR208" s="251">
        <f t="shared" si="111"/>
        <v>28.209366391184581</v>
      </c>
      <c r="BS208" s="221">
        <f t="shared" si="88"/>
        <v>26.574394463667826</v>
      </c>
      <c r="BT208" s="214">
        <f t="shared" si="91"/>
        <v>25.077551020408169</v>
      </c>
      <c r="BU208" s="221">
        <f t="shared" si="96"/>
        <v>18.274836406900661</v>
      </c>
      <c r="BV208" s="214">
        <f t="shared" si="102"/>
        <v>15.867768595041323</v>
      </c>
      <c r="BW208" s="221">
        <f t="shared" si="104"/>
        <v>15.170370370370371</v>
      </c>
      <c r="BX208" s="214">
        <f t="shared" si="108"/>
        <v>13.90674513354459</v>
      </c>
      <c r="BY208" s="221">
        <f t="shared" si="112"/>
        <v>12.288</v>
      </c>
      <c r="BZ208" s="214">
        <f t="shared" si="114"/>
        <v>11.360946745562131</v>
      </c>
      <c r="CA208" s="221">
        <f t="shared" si="115"/>
        <v>10.534979423868313</v>
      </c>
      <c r="CB208" s="214">
        <f t="shared" si="116"/>
        <v>9.4552169898430289</v>
      </c>
      <c r="CC208" s="221">
        <f t="shared" si="117"/>
        <v>8.825050272910083</v>
      </c>
      <c r="CD208" s="214">
        <f t="shared" si="121"/>
        <v>7.2710059171597639</v>
      </c>
      <c r="CE208" s="221">
        <f t="shared" si="122"/>
        <v>6.4524259609325778</v>
      </c>
      <c r="CF208" s="214">
        <f t="shared" si="125"/>
        <v>5.9259259259259265</v>
      </c>
      <c r="CG208" s="180">
        <f t="shared" si="127"/>
        <v>5.3185595567867043</v>
      </c>
      <c r="CH208" s="257"/>
      <c r="CI208" s="183"/>
      <c r="CJ208" s="184"/>
      <c r="CK208" s="183"/>
      <c r="CL208" s="184"/>
      <c r="CM208" s="256"/>
    </row>
    <row r="209" spans="1:91" ht="10.5" customHeight="1">
      <c r="A209" s="179" t="str">
        <f t="shared" si="119"/>
        <v/>
      </c>
      <c r="B209" s="190">
        <v>1.65</v>
      </c>
      <c r="C209" s="189"/>
      <c r="D209" s="189"/>
      <c r="E209" s="189"/>
      <c r="F209" s="189"/>
      <c r="G209" s="273"/>
      <c r="H209" s="245"/>
      <c r="I209" s="187"/>
      <c r="J209" s="187"/>
      <c r="K209" s="187"/>
      <c r="L209" s="187"/>
      <c r="M209" s="187"/>
      <c r="N209" s="187"/>
      <c r="O209" s="187"/>
      <c r="P209" s="187"/>
      <c r="Q209" s="187"/>
      <c r="R209" s="187"/>
      <c r="S209" s="186"/>
      <c r="T209" s="183"/>
      <c r="U209" s="186"/>
      <c r="V209" s="183"/>
      <c r="W209" s="184"/>
      <c r="X209" s="184"/>
      <c r="Y209" s="183"/>
      <c r="Z209" s="184"/>
      <c r="AA209" s="184"/>
      <c r="AB209" s="183"/>
      <c r="AC209" s="184"/>
      <c r="AD209" s="184"/>
      <c r="AE209" s="183"/>
      <c r="AF209" s="184"/>
      <c r="AG209" s="184"/>
      <c r="AH209" s="185"/>
      <c r="AI209" s="184"/>
      <c r="AJ209" s="184"/>
      <c r="AK209" s="183"/>
      <c r="AL209" s="184"/>
      <c r="AM209" s="184"/>
      <c r="AN209" s="183"/>
      <c r="AO209" s="184"/>
      <c r="AP209" s="184"/>
      <c r="AQ209" s="183"/>
      <c r="AR209" s="184"/>
      <c r="AS209" s="184"/>
      <c r="AT209" s="183"/>
      <c r="AU209" s="184"/>
      <c r="AV209" s="184"/>
      <c r="AW209" s="183"/>
      <c r="AX209" s="184"/>
      <c r="AY209" s="184"/>
      <c r="AZ209" s="183"/>
      <c r="BA209" s="184"/>
      <c r="BB209" s="183"/>
      <c r="BC209" s="184"/>
      <c r="BD209" s="184"/>
      <c r="BE209" s="183"/>
      <c r="BF209" s="184"/>
      <c r="BG209" s="184"/>
      <c r="BH209" s="183"/>
      <c r="BI209" s="182"/>
      <c r="BJ209" s="272">
        <f t="shared" si="123"/>
        <v>67.499999999999972</v>
      </c>
      <c r="BK209" s="221">
        <f t="shared" si="118"/>
        <v>61.758034026465026</v>
      </c>
      <c r="BL209" s="214">
        <f t="shared" si="120"/>
        <v>52.271999999999984</v>
      </c>
      <c r="BM209" s="264">
        <f t="shared" si="99"/>
        <v>48.328402366863898</v>
      </c>
      <c r="BN209" s="221">
        <f t="shared" si="124"/>
        <v>44.81481481481481</v>
      </c>
      <c r="BO209" s="214">
        <f t="shared" si="126"/>
        <v>41.670918367346943</v>
      </c>
      <c r="BP209" s="221">
        <f t="shared" si="128"/>
        <v>36.29999999999999</v>
      </c>
      <c r="BQ209" s="214">
        <f t="shared" si="129"/>
        <v>33.995837669094691</v>
      </c>
      <c r="BR209" s="252">
        <f t="shared" si="111"/>
        <v>30</v>
      </c>
      <c r="BS209" s="221">
        <f t="shared" si="88"/>
        <v>28.261245674740483</v>
      </c>
      <c r="BT209" s="214">
        <f t="shared" si="91"/>
        <v>26.66938775510204</v>
      </c>
      <c r="BU209" s="221">
        <f t="shared" si="96"/>
        <v>19.434860202260559</v>
      </c>
      <c r="BV209" s="214">
        <f t="shared" si="102"/>
        <v>16.874999999999993</v>
      </c>
      <c r="BW209" s="221">
        <f t="shared" si="104"/>
        <v>16.133333333333329</v>
      </c>
      <c r="BX209" s="214">
        <f t="shared" si="108"/>
        <v>14.789497510185599</v>
      </c>
      <c r="BY209" s="221">
        <f t="shared" si="112"/>
        <v>13.067999999999996</v>
      </c>
      <c r="BZ209" s="214">
        <f t="shared" si="114"/>
        <v>12.082100591715975</v>
      </c>
      <c r="CA209" s="221">
        <f t="shared" si="115"/>
        <v>11.203703703703702</v>
      </c>
      <c r="CB209" s="214">
        <f t="shared" si="116"/>
        <v>10.055401662049858</v>
      </c>
      <c r="CC209" s="221">
        <f t="shared" si="117"/>
        <v>9.3852341281241003</v>
      </c>
      <c r="CD209" s="214">
        <f t="shared" si="121"/>
        <v>7.7325443786982238</v>
      </c>
      <c r="CE209" s="221">
        <f t="shared" si="122"/>
        <v>6.8620037807183358</v>
      </c>
      <c r="CF209" s="214">
        <f t="shared" si="125"/>
        <v>6.3020833333333321</v>
      </c>
      <c r="CG209" s="221">
        <f t="shared" si="127"/>
        <v>5.6561634349030481</v>
      </c>
      <c r="CH209" s="271">
        <f t="shared" ref="CH209:CH240" si="130" xml:space="preserve"> 30*(B209/B$261)^2</f>
        <v>4.5217993079584762</v>
      </c>
      <c r="CI209" s="261"/>
      <c r="CJ209" s="184"/>
      <c r="CK209" s="183"/>
      <c r="CL209" s="184"/>
      <c r="CM209" s="256"/>
    </row>
    <row r="210" spans="1:91" ht="10.5" customHeight="1">
      <c r="A210" s="179" t="str">
        <f t="shared" si="119"/>
        <v/>
      </c>
      <c r="B210" s="213">
        <v>1.7</v>
      </c>
      <c r="C210" s="212"/>
      <c r="D210" s="212"/>
      <c r="E210" s="212"/>
      <c r="F210" s="212"/>
      <c r="G210" s="270"/>
      <c r="H210" s="242"/>
      <c r="I210" s="210"/>
      <c r="J210" s="210"/>
      <c r="K210" s="210"/>
      <c r="L210" s="210"/>
      <c r="M210" s="210"/>
      <c r="N210" s="210"/>
      <c r="O210" s="210"/>
      <c r="P210" s="210"/>
      <c r="Q210" s="210"/>
      <c r="R210" s="210"/>
      <c r="S210" s="209"/>
      <c r="T210" s="207"/>
      <c r="U210" s="209"/>
      <c r="V210" s="207"/>
      <c r="W210" s="206"/>
      <c r="X210" s="206"/>
      <c r="Y210" s="207"/>
      <c r="Z210" s="206"/>
      <c r="AA210" s="206"/>
      <c r="AB210" s="207"/>
      <c r="AC210" s="206"/>
      <c r="AD210" s="206"/>
      <c r="AE210" s="207"/>
      <c r="AF210" s="206"/>
      <c r="AG210" s="206"/>
      <c r="AH210" s="208"/>
      <c r="AI210" s="206"/>
      <c r="AJ210" s="206"/>
      <c r="AK210" s="207"/>
      <c r="AL210" s="206"/>
      <c r="AM210" s="206"/>
      <c r="AN210" s="207"/>
      <c r="AO210" s="206"/>
      <c r="AP210" s="206"/>
      <c r="AQ210" s="207"/>
      <c r="AR210" s="206"/>
      <c r="AS210" s="206"/>
      <c r="AT210" s="207"/>
      <c r="AU210" s="206"/>
      <c r="AV210" s="206"/>
      <c r="AW210" s="207"/>
      <c r="AX210" s="206"/>
      <c r="AY210" s="206"/>
      <c r="AZ210" s="207"/>
      <c r="BA210" s="206"/>
      <c r="BB210" s="207"/>
      <c r="BC210" s="206"/>
      <c r="BD210" s="206"/>
      <c r="BE210" s="207"/>
      <c r="BF210" s="206"/>
      <c r="BG210" s="206"/>
      <c r="BH210" s="207"/>
      <c r="BI210" s="226"/>
      <c r="BJ210" s="269">
        <f t="shared" si="123"/>
        <v>71.65289256198345</v>
      </c>
      <c r="BK210" s="225">
        <f t="shared" si="118"/>
        <v>65.5576559546314</v>
      </c>
      <c r="BL210" s="219">
        <f t="shared" si="120"/>
        <v>55.487999999999992</v>
      </c>
      <c r="BM210" s="262">
        <f t="shared" si="99"/>
        <v>51.301775147928993</v>
      </c>
      <c r="BN210" s="225">
        <f t="shared" si="124"/>
        <v>47.572016460905338</v>
      </c>
      <c r="BO210" s="219">
        <f t="shared" si="126"/>
        <v>44.234693877551031</v>
      </c>
      <c r="BP210" s="225">
        <f t="shared" si="128"/>
        <v>38.533333333333331</v>
      </c>
      <c r="BQ210" s="219">
        <f t="shared" si="129"/>
        <v>36.087408949011447</v>
      </c>
      <c r="BR210" s="251">
        <f t="shared" si="111"/>
        <v>31.84573002754821</v>
      </c>
      <c r="BS210" s="241">
        <v>30</v>
      </c>
      <c r="BT210" s="219">
        <f t="shared" si="91"/>
        <v>28.310204081632651</v>
      </c>
      <c r="BU210" s="225">
        <f t="shared" si="96"/>
        <v>20.630577037477696</v>
      </c>
      <c r="BV210" s="219">
        <f t="shared" si="102"/>
        <v>17.913223140495862</v>
      </c>
      <c r="BW210" s="225">
        <f t="shared" si="104"/>
        <v>17.125925925925923</v>
      </c>
      <c r="BX210" s="219">
        <f t="shared" si="108"/>
        <v>15.699411498415568</v>
      </c>
      <c r="BY210" s="225">
        <f t="shared" si="112"/>
        <v>13.871999999999998</v>
      </c>
      <c r="BZ210" s="219">
        <f t="shared" si="114"/>
        <v>12.825443786982248</v>
      </c>
      <c r="CA210" s="225">
        <f t="shared" si="115"/>
        <v>11.893004115226335</v>
      </c>
      <c r="CB210" s="219">
        <f t="shared" si="116"/>
        <v>10.674053554939979</v>
      </c>
      <c r="CC210" s="225">
        <f t="shared" si="117"/>
        <v>9.9626544096523961</v>
      </c>
      <c r="CD210" s="219">
        <f t="shared" si="121"/>
        <v>8.2082840236686394</v>
      </c>
      <c r="CE210" s="225">
        <f t="shared" si="122"/>
        <v>7.284183994959041</v>
      </c>
      <c r="CF210" s="219">
        <f t="shared" si="125"/>
        <v>6.6898148148148149</v>
      </c>
      <c r="CG210" s="225">
        <f t="shared" si="127"/>
        <v>6.0041551246537397</v>
      </c>
      <c r="CH210" s="203">
        <f t="shared" si="130"/>
        <v>4.7999999999999989</v>
      </c>
      <c r="CI210" s="268"/>
      <c r="CJ210" s="206"/>
      <c r="CK210" s="207"/>
      <c r="CL210" s="206"/>
      <c r="CM210" s="254"/>
    </row>
    <row r="211" spans="1:91" ht="10.5" customHeight="1" thickBot="1">
      <c r="A211" s="179" t="str">
        <f t="shared" si="119"/>
        <v/>
      </c>
      <c r="B211" s="201">
        <v>1.75</v>
      </c>
      <c r="C211" s="200"/>
      <c r="D211" s="200"/>
      <c r="E211" s="200"/>
      <c r="F211" s="200"/>
      <c r="G211" s="267"/>
      <c r="H211" s="249"/>
      <c r="I211" s="198"/>
      <c r="J211" s="198"/>
      <c r="K211" s="198"/>
      <c r="L211" s="198"/>
      <c r="M211" s="198"/>
      <c r="N211" s="198"/>
      <c r="O211" s="198"/>
      <c r="P211" s="198"/>
      <c r="Q211" s="198"/>
      <c r="R211" s="198"/>
      <c r="S211" s="197"/>
      <c r="T211" s="194"/>
      <c r="U211" s="197"/>
      <c r="V211" s="194"/>
      <c r="W211" s="195"/>
      <c r="X211" s="195"/>
      <c r="Y211" s="194"/>
      <c r="Z211" s="195"/>
      <c r="AA211" s="195"/>
      <c r="AB211" s="194"/>
      <c r="AC211" s="195"/>
      <c r="AD211" s="195"/>
      <c r="AE211" s="194"/>
      <c r="AF211" s="195"/>
      <c r="AG211" s="195"/>
      <c r="AH211" s="196"/>
      <c r="AI211" s="195"/>
      <c r="AJ211" s="195"/>
      <c r="AK211" s="194"/>
      <c r="AL211" s="195"/>
      <c r="AM211" s="195"/>
      <c r="AN211" s="194"/>
      <c r="AO211" s="195"/>
      <c r="AP211" s="195"/>
      <c r="AQ211" s="194"/>
      <c r="AR211" s="195"/>
      <c r="AS211" s="195"/>
      <c r="AT211" s="194"/>
      <c r="AU211" s="195"/>
      <c r="AV211" s="195"/>
      <c r="AW211" s="194"/>
      <c r="AX211" s="195"/>
      <c r="AY211" s="195"/>
      <c r="AZ211" s="194"/>
      <c r="BA211" s="195"/>
      <c r="BB211" s="194"/>
      <c r="BC211" s="195"/>
      <c r="BD211" s="195"/>
      <c r="BE211" s="194"/>
      <c r="BF211" s="195"/>
      <c r="BG211" s="195"/>
      <c r="BH211" s="194"/>
      <c r="BI211" s="224"/>
      <c r="BJ211" s="266">
        <f t="shared" si="123"/>
        <v>75.929752066115697</v>
      </c>
      <c r="BK211" s="223">
        <f t="shared" si="118"/>
        <v>69.470699432892246</v>
      </c>
      <c r="BL211" s="217">
        <f t="shared" si="120"/>
        <v>58.79999999999999</v>
      </c>
      <c r="BM211" s="264">
        <f t="shared" si="99"/>
        <v>54.363905325443781</v>
      </c>
      <c r="BN211" s="223">
        <f t="shared" si="124"/>
        <v>50.411522633744852</v>
      </c>
      <c r="BO211" s="217">
        <f t="shared" si="126"/>
        <v>46.875</v>
      </c>
      <c r="BP211" s="223">
        <f t="shared" si="128"/>
        <v>40.833333333333343</v>
      </c>
      <c r="BQ211" s="217">
        <f t="shared" si="129"/>
        <v>38.241415192507802</v>
      </c>
      <c r="BR211" s="252">
        <f t="shared" si="111"/>
        <v>33.746556473829195</v>
      </c>
      <c r="BS211" s="223">
        <f t="shared" ref="BS211:BS229" si="131" xml:space="preserve"> 30*(B211/B$210)^2</f>
        <v>31.790657439446374</v>
      </c>
      <c r="BT211" s="234">
        <v>30</v>
      </c>
      <c r="BU211" s="223">
        <f t="shared" si="96"/>
        <v>21.861986912552059</v>
      </c>
      <c r="BV211" s="217">
        <f t="shared" si="102"/>
        <v>18.982438016528924</v>
      </c>
      <c r="BW211" s="223">
        <f t="shared" si="104"/>
        <v>18.148148148148149</v>
      </c>
      <c r="BX211" s="217">
        <f t="shared" si="108"/>
        <v>16.636487098234493</v>
      </c>
      <c r="BY211" s="223">
        <f t="shared" si="112"/>
        <v>14.699999999999998</v>
      </c>
      <c r="BZ211" s="217">
        <f t="shared" si="114"/>
        <v>13.590976331360945</v>
      </c>
      <c r="CA211" s="223">
        <f t="shared" si="115"/>
        <v>12.602880658436213</v>
      </c>
      <c r="CB211" s="217">
        <f t="shared" si="116"/>
        <v>11.31117266851339</v>
      </c>
      <c r="CC211" s="223">
        <f t="shared" si="117"/>
        <v>10.557311117494971</v>
      </c>
      <c r="CD211" s="217">
        <f t="shared" si="121"/>
        <v>8.6982248520710055</v>
      </c>
      <c r="CE211" s="223">
        <f t="shared" si="122"/>
        <v>7.7189666036546916</v>
      </c>
      <c r="CF211" s="217">
        <f t="shared" si="125"/>
        <v>7.0891203703703702</v>
      </c>
      <c r="CG211" s="223">
        <f t="shared" si="127"/>
        <v>6.3625346260387827</v>
      </c>
      <c r="CH211" s="192">
        <f t="shared" si="130"/>
        <v>5.086505190311418</v>
      </c>
      <c r="CI211" s="261"/>
      <c r="CJ211" s="195"/>
      <c r="CK211" s="194"/>
      <c r="CL211" s="195"/>
      <c r="CM211" s="258"/>
    </row>
    <row r="212" spans="1:91" ht="10.5" customHeight="1" thickBot="1">
      <c r="A212" s="179" t="str">
        <f t="shared" si="119"/>
        <v/>
      </c>
      <c r="B212" s="190">
        <v>1.8</v>
      </c>
      <c r="C212" s="189"/>
      <c r="D212" s="189"/>
      <c r="E212" s="189"/>
      <c r="F212" s="189"/>
      <c r="G212" s="189"/>
      <c r="H212" s="245"/>
      <c r="I212" s="187"/>
      <c r="J212" s="187"/>
      <c r="K212" s="187"/>
      <c r="L212" s="187"/>
      <c r="M212" s="187"/>
      <c r="N212" s="187"/>
      <c r="O212" s="187"/>
      <c r="P212" s="187"/>
      <c r="Q212" s="187"/>
      <c r="R212" s="187"/>
      <c r="S212" s="186"/>
      <c r="T212" s="183"/>
      <c r="U212" s="186"/>
      <c r="V212" s="183"/>
      <c r="W212" s="184"/>
      <c r="X212" s="184"/>
      <c r="Y212" s="183"/>
      <c r="Z212" s="184"/>
      <c r="AA212" s="184"/>
      <c r="AB212" s="183"/>
      <c r="AC212" s="184"/>
      <c r="AD212" s="184"/>
      <c r="AE212" s="183"/>
      <c r="AF212" s="184"/>
      <c r="AG212" s="184"/>
      <c r="AH212" s="185"/>
      <c r="AI212" s="184"/>
      <c r="AJ212" s="184"/>
      <c r="AK212" s="183"/>
      <c r="AL212" s="184"/>
      <c r="AM212" s="184"/>
      <c r="AN212" s="183"/>
      <c r="AO212" s="184"/>
      <c r="AP212" s="184"/>
      <c r="AQ212" s="183"/>
      <c r="AR212" s="184"/>
      <c r="AS212" s="184"/>
      <c r="AT212" s="183"/>
      <c r="AU212" s="184"/>
      <c r="AV212" s="184"/>
      <c r="AW212" s="183"/>
      <c r="AX212" s="184"/>
      <c r="AY212" s="184"/>
      <c r="AZ212" s="183"/>
      <c r="BA212" s="184"/>
      <c r="BB212" s="183"/>
      <c r="BC212" s="184"/>
      <c r="BD212" s="184"/>
      <c r="BE212" s="183"/>
      <c r="BF212" s="184"/>
      <c r="BG212" s="184"/>
      <c r="BH212" s="183"/>
      <c r="BI212" s="182"/>
      <c r="BJ212" s="265"/>
      <c r="BK212" s="220">
        <f t="shared" si="118"/>
        <v>73.49716446124765</v>
      </c>
      <c r="BL212" s="214">
        <f t="shared" si="120"/>
        <v>62.207999999999998</v>
      </c>
      <c r="BM212" s="262">
        <f t="shared" ref="BM212:BM217" si="132" xml:space="preserve"> 30*(B212/B$202)^2</f>
        <v>57.514792899408278</v>
      </c>
      <c r="BN212" s="221">
        <f t="shared" si="124"/>
        <v>53.333333333333329</v>
      </c>
      <c r="BO212" s="214">
        <f t="shared" si="126"/>
        <v>49.591836734693885</v>
      </c>
      <c r="BP212" s="221">
        <f t="shared" si="128"/>
        <v>43.199999999999996</v>
      </c>
      <c r="BQ212" s="214">
        <f t="shared" si="129"/>
        <v>40.457856399583768</v>
      </c>
      <c r="BR212" s="251">
        <f t="shared" si="111"/>
        <v>35.702479338842984</v>
      </c>
      <c r="BS212" s="221">
        <f t="shared" si="131"/>
        <v>33.63321799307959</v>
      </c>
      <c r="BT212" s="214">
        <f t="shared" ref="BT212:BT230" si="133" xml:space="preserve"> 30*(B212/B$211)^2</f>
        <v>31.738775510204089</v>
      </c>
      <c r="BU212" s="221">
        <f t="shared" si="96"/>
        <v>23.129089827483647</v>
      </c>
      <c r="BV212" s="214">
        <f t="shared" si="102"/>
        <v>20.082644628099171</v>
      </c>
      <c r="BW212" s="221">
        <f t="shared" si="104"/>
        <v>19.200000000000003</v>
      </c>
      <c r="BX212" s="214">
        <f t="shared" si="108"/>
        <v>17.60072430964237</v>
      </c>
      <c r="BY212" s="221">
        <f t="shared" si="112"/>
        <v>15.552</v>
      </c>
      <c r="BZ212" s="214">
        <f t="shared" si="114"/>
        <v>14.378698224852069</v>
      </c>
      <c r="CA212" s="221">
        <f t="shared" si="115"/>
        <v>13.333333333333332</v>
      </c>
      <c r="CB212" s="214">
        <f t="shared" si="116"/>
        <v>11.966759002770083</v>
      </c>
      <c r="CC212" s="221">
        <f t="shared" si="117"/>
        <v>11.16920425165182</v>
      </c>
      <c r="CD212" s="214">
        <f t="shared" si="121"/>
        <v>9.2023668639053273</v>
      </c>
      <c r="CE212" s="221">
        <f t="shared" si="122"/>
        <v>8.1663516068052928</v>
      </c>
      <c r="CF212" s="214">
        <f t="shared" si="125"/>
        <v>7.5</v>
      </c>
      <c r="CG212" s="221">
        <f t="shared" si="127"/>
        <v>6.7313019390581728</v>
      </c>
      <c r="CH212" s="214">
        <f t="shared" si="130"/>
        <v>5.3813148788927334</v>
      </c>
      <c r="CI212" s="240">
        <f t="shared" ref="CI212:CI243" si="134" xml:space="preserve"> 30*(B212/B$268)^2</f>
        <v>4.5935727788279781</v>
      </c>
      <c r="CJ212" s="257"/>
      <c r="CK212" s="183"/>
      <c r="CL212" s="184"/>
      <c r="CM212" s="256"/>
    </row>
    <row r="213" spans="1:91" ht="10.5" customHeight="1">
      <c r="A213" s="179" t="str">
        <f t="shared" si="119"/>
        <v/>
      </c>
      <c r="B213" s="190">
        <v>1.85</v>
      </c>
      <c r="C213" s="189"/>
      <c r="D213" s="189"/>
      <c r="E213" s="189"/>
      <c r="F213" s="189"/>
      <c r="G213" s="189"/>
      <c r="H213" s="245"/>
      <c r="I213" s="187"/>
      <c r="J213" s="187"/>
      <c r="K213" s="187"/>
      <c r="L213" s="187"/>
      <c r="M213" s="187"/>
      <c r="N213" s="187"/>
      <c r="O213" s="187"/>
      <c r="P213" s="187"/>
      <c r="Q213" s="187"/>
      <c r="R213" s="187"/>
      <c r="S213" s="186"/>
      <c r="T213" s="183"/>
      <c r="U213" s="186"/>
      <c r="V213" s="183"/>
      <c r="W213" s="184"/>
      <c r="X213" s="184"/>
      <c r="Y213" s="183"/>
      <c r="Z213" s="184"/>
      <c r="AA213" s="184"/>
      <c r="AB213" s="183"/>
      <c r="AC213" s="184"/>
      <c r="AD213" s="184"/>
      <c r="AE213" s="183"/>
      <c r="AF213" s="184"/>
      <c r="AG213" s="184"/>
      <c r="AH213" s="185"/>
      <c r="AI213" s="184"/>
      <c r="AJ213" s="184"/>
      <c r="AK213" s="183"/>
      <c r="AL213" s="184"/>
      <c r="AM213" s="184"/>
      <c r="AN213" s="183"/>
      <c r="AO213" s="184"/>
      <c r="AP213" s="184"/>
      <c r="AQ213" s="183"/>
      <c r="AR213" s="184"/>
      <c r="AS213" s="184"/>
      <c r="AT213" s="183"/>
      <c r="AU213" s="184"/>
      <c r="AV213" s="184"/>
      <c r="AW213" s="183"/>
      <c r="AX213" s="184"/>
      <c r="AY213" s="184"/>
      <c r="AZ213" s="183"/>
      <c r="BA213" s="184"/>
      <c r="BB213" s="183"/>
      <c r="BC213" s="184"/>
      <c r="BD213" s="184"/>
      <c r="BE213" s="183"/>
      <c r="BF213" s="184"/>
      <c r="BG213" s="184"/>
      <c r="BH213" s="183"/>
      <c r="BI213" s="184"/>
      <c r="BJ213" s="182"/>
      <c r="BK213" s="216"/>
      <c r="BL213" s="214">
        <f t="shared" si="120"/>
        <v>65.712000000000003</v>
      </c>
      <c r="BM213" s="264">
        <f t="shared" si="132"/>
        <v>60.754437869822489</v>
      </c>
      <c r="BN213" s="221">
        <f t="shared" si="124"/>
        <v>56.337448559670769</v>
      </c>
      <c r="BO213" s="214">
        <f t="shared" si="126"/>
        <v>52.385204081632665</v>
      </c>
      <c r="BP213" s="221">
        <f t="shared" si="128"/>
        <v>45.63333333333334</v>
      </c>
      <c r="BQ213" s="214">
        <f t="shared" si="129"/>
        <v>42.73673257023934</v>
      </c>
      <c r="BR213" s="252">
        <f t="shared" si="111"/>
        <v>37.71349862258954</v>
      </c>
      <c r="BS213" s="221">
        <f t="shared" si="131"/>
        <v>35.527681660899667</v>
      </c>
      <c r="BT213" s="214">
        <f t="shared" si="133"/>
        <v>33.526530612244898</v>
      </c>
      <c r="BU213" s="221">
        <f t="shared" si="96"/>
        <v>24.431885782272463</v>
      </c>
      <c r="BV213" s="214">
        <f t="shared" si="102"/>
        <v>21.213842975206607</v>
      </c>
      <c r="BW213" s="221">
        <f t="shared" si="104"/>
        <v>20.281481481481485</v>
      </c>
      <c r="BX213" s="214">
        <f t="shared" si="108"/>
        <v>18.592123132639205</v>
      </c>
      <c r="BY213" s="221">
        <f t="shared" si="112"/>
        <v>16.428000000000001</v>
      </c>
      <c r="BZ213" s="214">
        <f t="shared" si="114"/>
        <v>15.188609467455622</v>
      </c>
      <c r="CA213" s="221">
        <f t="shared" si="115"/>
        <v>14.084362139917692</v>
      </c>
      <c r="CB213" s="214">
        <f t="shared" si="116"/>
        <v>12.640812557710065</v>
      </c>
      <c r="CC213" s="221">
        <f t="shared" si="117"/>
        <v>11.798333812122953</v>
      </c>
      <c r="CD213" s="214">
        <f t="shared" si="121"/>
        <v>9.7207100591715978</v>
      </c>
      <c r="CE213" s="221">
        <f t="shared" si="122"/>
        <v>8.6263390044108395</v>
      </c>
      <c r="CF213" s="214">
        <f t="shared" si="125"/>
        <v>7.9224537037037051</v>
      </c>
      <c r="CG213" s="221">
        <f t="shared" si="127"/>
        <v>7.1104570637119133</v>
      </c>
      <c r="CH213" s="214">
        <f t="shared" si="130"/>
        <v>5.6844290657439442</v>
      </c>
      <c r="CI213" s="180">
        <f t="shared" si="134"/>
        <v>4.852315689981098</v>
      </c>
      <c r="CJ213" s="257"/>
      <c r="CK213" s="183"/>
      <c r="CL213" s="184"/>
      <c r="CM213" s="256"/>
    </row>
    <row r="214" spans="1:91" ht="10.5" customHeight="1" thickBot="1">
      <c r="A214" s="179" t="str">
        <f t="shared" si="119"/>
        <v/>
      </c>
      <c r="B214" s="213">
        <v>1.9</v>
      </c>
      <c r="C214" s="212"/>
      <c r="D214" s="212"/>
      <c r="E214" s="212"/>
      <c r="F214" s="212"/>
      <c r="G214" s="212"/>
      <c r="H214" s="242"/>
      <c r="I214" s="210"/>
      <c r="J214" s="210"/>
      <c r="K214" s="210"/>
      <c r="L214" s="210"/>
      <c r="M214" s="210"/>
      <c r="N214" s="210"/>
      <c r="O214" s="210"/>
      <c r="P214" s="210"/>
      <c r="Q214" s="210"/>
      <c r="R214" s="210"/>
      <c r="S214" s="209"/>
      <c r="T214" s="207"/>
      <c r="U214" s="209"/>
      <c r="V214" s="207"/>
      <c r="W214" s="206"/>
      <c r="X214" s="206"/>
      <c r="Y214" s="207"/>
      <c r="Z214" s="206"/>
      <c r="AA214" s="206"/>
      <c r="AB214" s="207"/>
      <c r="AC214" s="206"/>
      <c r="AD214" s="206"/>
      <c r="AE214" s="207"/>
      <c r="AF214" s="206"/>
      <c r="AG214" s="206"/>
      <c r="AH214" s="208"/>
      <c r="AI214" s="206"/>
      <c r="AJ214" s="206"/>
      <c r="AK214" s="207"/>
      <c r="AL214" s="206"/>
      <c r="AM214" s="206"/>
      <c r="AN214" s="207"/>
      <c r="AO214" s="206"/>
      <c r="AP214" s="206"/>
      <c r="AQ214" s="207"/>
      <c r="AR214" s="206"/>
      <c r="AS214" s="206"/>
      <c r="AT214" s="207"/>
      <c r="AU214" s="206"/>
      <c r="AV214" s="206"/>
      <c r="AW214" s="207"/>
      <c r="AX214" s="206"/>
      <c r="AY214" s="206"/>
      <c r="AZ214" s="207"/>
      <c r="BA214" s="206"/>
      <c r="BB214" s="207"/>
      <c r="BC214" s="206"/>
      <c r="BD214" s="206"/>
      <c r="BE214" s="207"/>
      <c r="BF214" s="206"/>
      <c r="BG214" s="206"/>
      <c r="BH214" s="207"/>
      <c r="BI214" s="206"/>
      <c r="BJ214" s="226"/>
      <c r="BK214" s="230"/>
      <c r="BL214" s="219">
        <f t="shared" si="120"/>
        <v>69.311999999999998</v>
      </c>
      <c r="BM214" s="262">
        <f t="shared" si="132"/>
        <v>64.08284023668638</v>
      </c>
      <c r="BN214" s="225">
        <f t="shared" si="124"/>
        <v>59.423868312757186</v>
      </c>
      <c r="BO214" s="219">
        <f t="shared" si="126"/>
        <v>55.255102040816332</v>
      </c>
      <c r="BP214" s="225">
        <f t="shared" si="128"/>
        <v>48.133333333333333</v>
      </c>
      <c r="BQ214" s="219">
        <f t="shared" si="129"/>
        <v>45.078043704474489</v>
      </c>
      <c r="BR214" s="251">
        <f t="shared" si="111"/>
        <v>39.779614325068877</v>
      </c>
      <c r="BS214" s="225">
        <f t="shared" si="131"/>
        <v>37.474048442906579</v>
      </c>
      <c r="BT214" s="219">
        <f t="shared" si="133"/>
        <v>35.363265306122443</v>
      </c>
      <c r="BU214" s="225">
        <f t="shared" si="96"/>
        <v>25.770374776918501</v>
      </c>
      <c r="BV214" s="219">
        <f t="shared" ref="BV214:BV243" si="135" xml:space="preserve"> 30*(B214/B$220)^2</f>
        <v>22.376033057851235</v>
      </c>
      <c r="BW214" s="225">
        <f t="shared" si="104"/>
        <v>21.392592592592592</v>
      </c>
      <c r="BX214" s="219">
        <f t="shared" si="108"/>
        <v>19.610683567224985</v>
      </c>
      <c r="BY214" s="225">
        <f t="shared" si="112"/>
        <v>17.327999999999999</v>
      </c>
      <c r="BZ214" s="219">
        <f t="shared" si="114"/>
        <v>16.020710059171595</v>
      </c>
      <c r="CA214" s="225">
        <f t="shared" si="115"/>
        <v>14.855967078189297</v>
      </c>
      <c r="CB214" s="219">
        <f t="shared" si="116"/>
        <v>13.333333333333332</v>
      </c>
      <c r="CC214" s="225">
        <f t="shared" si="117"/>
        <v>12.444699798908358</v>
      </c>
      <c r="CD214" s="219">
        <f t="shared" si="121"/>
        <v>10.25325443786982</v>
      </c>
      <c r="CE214" s="225">
        <f t="shared" si="122"/>
        <v>9.0989287964713252</v>
      </c>
      <c r="CF214" s="219">
        <f t="shared" si="125"/>
        <v>8.3564814814814827</v>
      </c>
      <c r="CG214" s="225">
        <f t="shared" si="127"/>
        <v>7.5</v>
      </c>
      <c r="CH214" s="219">
        <f t="shared" si="130"/>
        <v>5.9958477508650505</v>
      </c>
      <c r="CI214" s="202">
        <f t="shared" si="134"/>
        <v>5.1181474480151223</v>
      </c>
      <c r="CJ214" s="255"/>
      <c r="CK214" s="207"/>
      <c r="CL214" s="206"/>
      <c r="CM214" s="254"/>
    </row>
    <row r="215" spans="1:91" ht="10.5" customHeight="1" thickBot="1">
      <c r="A215" s="179" t="str">
        <f t="shared" si="119"/>
        <v/>
      </c>
      <c r="B215" s="201">
        <v>1.95</v>
      </c>
      <c r="C215" s="200"/>
      <c r="D215" s="200"/>
      <c r="E215" s="200"/>
      <c r="F215" s="200"/>
      <c r="G215" s="200"/>
      <c r="H215" s="249"/>
      <c r="I215" s="198"/>
      <c r="J215" s="198"/>
      <c r="K215" s="198"/>
      <c r="L215" s="198"/>
      <c r="M215" s="198"/>
      <c r="N215" s="198"/>
      <c r="O215" s="198"/>
      <c r="P215" s="198"/>
      <c r="Q215" s="198"/>
      <c r="R215" s="198"/>
      <c r="S215" s="197"/>
      <c r="T215" s="194"/>
      <c r="U215" s="197"/>
      <c r="V215" s="194"/>
      <c r="W215" s="195"/>
      <c r="X215" s="195"/>
      <c r="Y215" s="194"/>
      <c r="Z215" s="195"/>
      <c r="AA215" s="195"/>
      <c r="AB215" s="194"/>
      <c r="AC215" s="195"/>
      <c r="AD215" s="195"/>
      <c r="AE215" s="194"/>
      <c r="AF215" s="195"/>
      <c r="AG215" s="195"/>
      <c r="AH215" s="196"/>
      <c r="AI215" s="195"/>
      <c r="AJ215" s="195"/>
      <c r="AK215" s="194"/>
      <c r="AL215" s="195"/>
      <c r="AM215" s="195"/>
      <c r="AN215" s="194"/>
      <c r="AO215" s="195"/>
      <c r="AP215" s="195"/>
      <c r="AQ215" s="194"/>
      <c r="AR215" s="195"/>
      <c r="AS215" s="195"/>
      <c r="AT215" s="194"/>
      <c r="AU215" s="195"/>
      <c r="AV215" s="195"/>
      <c r="AW215" s="194"/>
      <c r="AX215" s="195"/>
      <c r="AY215" s="195"/>
      <c r="AZ215" s="194"/>
      <c r="BA215" s="195"/>
      <c r="BB215" s="194"/>
      <c r="BC215" s="195"/>
      <c r="BD215" s="195"/>
      <c r="BE215" s="194"/>
      <c r="BF215" s="195"/>
      <c r="BG215" s="195"/>
      <c r="BH215" s="194"/>
      <c r="BI215" s="195"/>
      <c r="BJ215" s="224"/>
      <c r="BK215" s="228"/>
      <c r="BL215" s="227">
        <f t="shared" si="120"/>
        <v>73.00800000000001</v>
      </c>
      <c r="BM215" s="264">
        <f t="shared" si="132"/>
        <v>67.5</v>
      </c>
      <c r="BN215" s="223">
        <f t="shared" si="124"/>
        <v>62.592592592592588</v>
      </c>
      <c r="BO215" s="217">
        <f t="shared" si="126"/>
        <v>58.201530612244916</v>
      </c>
      <c r="BP215" s="223">
        <f t="shared" si="128"/>
        <v>50.7</v>
      </c>
      <c r="BQ215" s="217">
        <f t="shared" si="129"/>
        <v>47.481789802289285</v>
      </c>
      <c r="BR215" s="252">
        <f t="shared" si="111"/>
        <v>41.900826446281002</v>
      </c>
      <c r="BS215" s="223">
        <f t="shared" si="131"/>
        <v>39.47231833910034</v>
      </c>
      <c r="BT215" s="217">
        <f t="shared" si="133"/>
        <v>37.248979591836736</v>
      </c>
      <c r="BU215" s="223">
        <f t="shared" si="96"/>
        <v>27.144556811421776</v>
      </c>
      <c r="BV215" s="217">
        <f t="shared" si="135"/>
        <v>23.569214876033051</v>
      </c>
      <c r="BW215" s="223">
        <f t="shared" si="104"/>
        <v>22.533333333333335</v>
      </c>
      <c r="BX215" s="217">
        <f t="shared" si="108"/>
        <v>20.656405613399727</v>
      </c>
      <c r="BY215" s="223">
        <f t="shared" si="112"/>
        <v>18.252000000000002</v>
      </c>
      <c r="BZ215" s="217">
        <f t="shared" si="114"/>
        <v>16.875</v>
      </c>
      <c r="CA215" s="223">
        <f t="shared" si="115"/>
        <v>15.648148148148147</v>
      </c>
      <c r="CB215" s="217">
        <f t="shared" si="116"/>
        <v>14.044321329639891</v>
      </c>
      <c r="CC215" s="223">
        <f t="shared" si="117"/>
        <v>13.108302212008041</v>
      </c>
      <c r="CD215" s="217">
        <f t="shared" si="121"/>
        <v>10.799999999999999</v>
      </c>
      <c r="CE215" s="223">
        <f t="shared" si="122"/>
        <v>9.5841209829867662</v>
      </c>
      <c r="CF215" s="217">
        <f t="shared" si="125"/>
        <v>8.8020833333333321</v>
      </c>
      <c r="CG215" s="223">
        <f t="shared" si="127"/>
        <v>7.8999307479224381</v>
      </c>
      <c r="CH215" s="217">
        <f t="shared" si="130"/>
        <v>6.3155709342560549</v>
      </c>
      <c r="CI215" s="223">
        <f t="shared" si="134"/>
        <v>5.3910680529300574</v>
      </c>
      <c r="CJ215" s="253">
        <f t="shared" ref="CJ215:CJ246" si="136" xml:space="preserve"> 30*(B215/B$275)^2</f>
        <v>4.6556473829201099</v>
      </c>
      <c r="CK215" s="263"/>
      <c r="CL215" s="195"/>
      <c r="CM215" s="258"/>
    </row>
    <row r="216" spans="1:91" ht="10.5" customHeight="1" thickBot="1">
      <c r="A216" s="179" t="str">
        <f t="shared" si="119"/>
        <v/>
      </c>
      <c r="B216" s="190">
        <v>2</v>
      </c>
      <c r="C216" s="189"/>
      <c r="D216" s="189"/>
      <c r="E216" s="189"/>
      <c r="F216" s="189"/>
      <c r="G216" s="189"/>
      <c r="H216" s="245"/>
      <c r="I216" s="187"/>
      <c r="J216" s="187"/>
      <c r="K216" s="187"/>
      <c r="L216" s="187"/>
      <c r="M216" s="187"/>
      <c r="N216" s="187"/>
      <c r="O216" s="187"/>
      <c r="P216" s="187"/>
      <c r="Q216" s="187"/>
      <c r="R216" s="187"/>
      <c r="S216" s="186"/>
      <c r="T216" s="183"/>
      <c r="U216" s="186"/>
      <c r="V216" s="183"/>
      <c r="W216" s="184"/>
      <c r="X216" s="184"/>
      <c r="Y216" s="183"/>
      <c r="Z216" s="184"/>
      <c r="AA216" s="184"/>
      <c r="AB216" s="183"/>
      <c r="AC216" s="184"/>
      <c r="AD216" s="184"/>
      <c r="AE216" s="183"/>
      <c r="AF216" s="184"/>
      <c r="AG216" s="184"/>
      <c r="AH216" s="185"/>
      <c r="AI216" s="184"/>
      <c r="AJ216" s="184"/>
      <c r="AK216" s="183"/>
      <c r="AL216" s="184"/>
      <c r="AM216" s="184"/>
      <c r="AN216" s="183"/>
      <c r="AO216" s="184"/>
      <c r="AP216" s="184"/>
      <c r="AQ216" s="183"/>
      <c r="AR216" s="184"/>
      <c r="AS216" s="184"/>
      <c r="AT216" s="183"/>
      <c r="AU216" s="184"/>
      <c r="AV216" s="184"/>
      <c r="AW216" s="183"/>
      <c r="AX216" s="184"/>
      <c r="AY216" s="184"/>
      <c r="AZ216" s="183"/>
      <c r="BA216" s="184"/>
      <c r="BB216" s="183"/>
      <c r="BC216" s="184"/>
      <c r="BD216" s="184"/>
      <c r="BE216" s="183"/>
      <c r="BF216" s="184"/>
      <c r="BG216" s="184"/>
      <c r="BH216" s="183"/>
      <c r="BI216" s="184"/>
      <c r="BJ216" s="184"/>
      <c r="BK216" s="183"/>
      <c r="BL216" s="182"/>
      <c r="BM216" s="262">
        <f t="shared" si="132"/>
        <v>71.0059171597633</v>
      </c>
      <c r="BN216" s="221">
        <f t="shared" si="124"/>
        <v>65.843621399176939</v>
      </c>
      <c r="BO216" s="214">
        <f t="shared" si="126"/>
        <v>61.224489795918366</v>
      </c>
      <c r="BP216" s="221">
        <f t="shared" si="128"/>
        <v>53.333333333333329</v>
      </c>
      <c r="BQ216" s="214">
        <f t="shared" si="129"/>
        <v>49.947970863683665</v>
      </c>
      <c r="BR216" s="251">
        <f t="shared" si="111"/>
        <v>44.0771349862259</v>
      </c>
      <c r="BS216" s="221">
        <f t="shared" si="131"/>
        <v>41.522491349480973</v>
      </c>
      <c r="BT216" s="214">
        <f t="shared" si="133"/>
        <v>39.183673469387749</v>
      </c>
      <c r="BU216" s="221">
        <f t="shared" si="96"/>
        <v>28.554431885782275</v>
      </c>
      <c r="BV216" s="214">
        <f t="shared" si="135"/>
        <v>24.793388429752063</v>
      </c>
      <c r="BW216" s="221">
        <f t="shared" si="104"/>
        <v>23.703703703703702</v>
      </c>
      <c r="BX216" s="214">
        <f t="shared" si="108"/>
        <v>21.72928927116342</v>
      </c>
      <c r="BY216" s="221">
        <f t="shared" si="112"/>
        <v>19.200000000000003</v>
      </c>
      <c r="BZ216" s="214">
        <f t="shared" si="114"/>
        <v>17.751479289940825</v>
      </c>
      <c r="CA216" s="221">
        <f t="shared" si="115"/>
        <v>16.460905349794235</v>
      </c>
      <c r="CB216" s="214">
        <f t="shared" si="116"/>
        <v>14.773776546629731</v>
      </c>
      <c r="CC216" s="221">
        <f t="shared" si="117"/>
        <v>13.789141051422003</v>
      </c>
      <c r="CD216" s="214">
        <f t="shared" si="121"/>
        <v>11.360946745562131</v>
      </c>
      <c r="CE216" s="221">
        <f t="shared" si="122"/>
        <v>10.081915563957153</v>
      </c>
      <c r="CF216" s="214">
        <f t="shared" si="125"/>
        <v>9.2592592592592595</v>
      </c>
      <c r="CG216" s="221">
        <f t="shared" si="127"/>
        <v>8.3102493074792232</v>
      </c>
      <c r="CH216" s="214">
        <f t="shared" si="130"/>
        <v>6.6435986159169556</v>
      </c>
      <c r="CI216" s="221">
        <f t="shared" si="134"/>
        <v>5.6710775047258988</v>
      </c>
      <c r="CJ216" s="181">
        <f t="shared" si="136"/>
        <v>4.8974594429139877</v>
      </c>
      <c r="CK216" s="261"/>
      <c r="CL216" s="184"/>
      <c r="CM216" s="256"/>
    </row>
    <row r="217" spans="1:91" ht="10.5" customHeight="1" thickBot="1">
      <c r="A217" s="179" t="str">
        <f t="shared" si="119"/>
        <v/>
      </c>
      <c r="B217" s="190">
        <v>2.0499999999999998</v>
      </c>
      <c r="C217" s="189"/>
      <c r="D217" s="189"/>
      <c r="E217" s="189"/>
      <c r="F217" s="189"/>
      <c r="G217" s="189"/>
      <c r="H217" s="245"/>
      <c r="I217" s="187"/>
      <c r="J217" s="187"/>
      <c r="K217" s="187"/>
      <c r="L217" s="187"/>
      <c r="M217" s="187"/>
      <c r="N217" s="187"/>
      <c r="O217" s="187"/>
      <c r="P217" s="187"/>
      <c r="Q217" s="187"/>
      <c r="R217" s="187"/>
      <c r="S217" s="186"/>
      <c r="T217" s="183"/>
      <c r="U217" s="186"/>
      <c r="V217" s="183"/>
      <c r="W217" s="184"/>
      <c r="X217" s="184"/>
      <c r="Y217" s="183"/>
      <c r="Z217" s="184"/>
      <c r="AA217" s="184"/>
      <c r="AB217" s="183"/>
      <c r="AC217" s="184"/>
      <c r="AD217" s="184"/>
      <c r="AE217" s="183"/>
      <c r="AF217" s="184"/>
      <c r="AG217" s="184"/>
      <c r="AH217" s="185"/>
      <c r="AI217" s="184"/>
      <c r="AJ217" s="184"/>
      <c r="AK217" s="183"/>
      <c r="AL217" s="184"/>
      <c r="AM217" s="184"/>
      <c r="AN217" s="183"/>
      <c r="AO217" s="184"/>
      <c r="AP217" s="184"/>
      <c r="AQ217" s="183"/>
      <c r="AR217" s="184"/>
      <c r="AS217" s="184"/>
      <c r="AT217" s="183"/>
      <c r="AU217" s="184"/>
      <c r="AV217" s="184"/>
      <c r="AW217" s="183"/>
      <c r="AX217" s="184"/>
      <c r="AY217" s="184"/>
      <c r="AZ217" s="183"/>
      <c r="BA217" s="184"/>
      <c r="BB217" s="183"/>
      <c r="BC217" s="184"/>
      <c r="BD217" s="184"/>
      <c r="BE217" s="183"/>
      <c r="BF217" s="184"/>
      <c r="BG217" s="184"/>
      <c r="BH217" s="183"/>
      <c r="BI217" s="184"/>
      <c r="BJ217" s="184"/>
      <c r="BK217" s="183"/>
      <c r="BL217" s="182"/>
      <c r="BM217" s="260">
        <f t="shared" si="132"/>
        <v>74.600591715976307</v>
      </c>
      <c r="BN217" s="221">
        <f t="shared" si="124"/>
        <v>69.176954732510282</v>
      </c>
      <c r="BO217" s="214">
        <f t="shared" si="126"/>
        <v>64.323979591836718</v>
      </c>
      <c r="BP217" s="221">
        <f t="shared" si="128"/>
        <v>56.033333333333317</v>
      </c>
      <c r="BQ217" s="214">
        <f t="shared" si="129"/>
        <v>52.476586888657643</v>
      </c>
      <c r="BR217" s="252">
        <f t="shared" si="111"/>
        <v>46.308539944903586</v>
      </c>
      <c r="BS217" s="221">
        <f t="shared" si="131"/>
        <v>43.624567474048433</v>
      </c>
      <c r="BT217" s="214">
        <f t="shared" si="133"/>
        <v>41.167346938775495</v>
      </c>
      <c r="BU217" s="235">
        <v>30</v>
      </c>
      <c r="BV217" s="214">
        <f t="shared" si="135"/>
        <v>26.048553719008254</v>
      </c>
      <c r="BW217" s="221">
        <f t="shared" si="104"/>
        <v>24.903703703703698</v>
      </c>
      <c r="BX217" s="214">
        <f t="shared" si="108"/>
        <v>22.829334540516065</v>
      </c>
      <c r="BY217" s="221">
        <f t="shared" si="112"/>
        <v>20.171999999999997</v>
      </c>
      <c r="BZ217" s="214">
        <f t="shared" si="114"/>
        <v>18.650147928994077</v>
      </c>
      <c r="CA217" s="221">
        <f t="shared" si="115"/>
        <v>17.294238683127571</v>
      </c>
      <c r="CB217" s="214">
        <f t="shared" si="116"/>
        <v>15.521698984302857</v>
      </c>
      <c r="CC217" s="221">
        <f t="shared" si="117"/>
        <v>14.48721631715024</v>
      </c>
      <c r="CD217" s="214">
        <f t="shared" si="121"/>
        <v>11.936094674556212</v>
      </c>
      <c r="CE217" s="221">
        <f t="shared" si="122"/>
        <v>10.592312539382478</v>
      </c>
      <c r="CF217" s="214">
        <f t="shared" si="125"/>
        <v>9.7280092592592595</v>
      </c>
      <c r="CG217" s="221">
        <f t="shared" si="127"/>
        <v>8.7309556786703606</v>
      </c>
      <c r="CH217" s="214">
        <f t="shared" si="130"/>
        <v>6.979930795847749</v>
      </c>
      <c r="CI217" s="221">
        <f t="shared" si="134"/>
        <v>5.9581758034026464</v>
      </c>
      <c r="CJ217" s="214">
        <f t="shared" si="136"/>
        <v>5.145393327211508</v>
      </c>
      <c r="CK217" s="240">
        <f t="shared" ref="CK217:CK248" si="137" xml:space="preserve"> 30*(B217/B$278)^2</f>
        <v>4.6625369822485192</v>
      </c>
      <c r="CL217" s="257"/>
      <c r="CM217" s="256"/>
    </row>
    <row r="218" spans="1:91" ht="10.5" customHeight="1" thickBot="1">
      <c r="A218" s="179" t="str">
        <f t="shared" si="119"/>
        <v/>
      </c>
      <c r="B218" s="213">
        <v>2.1</v>
      </c>
      <c r="C218" s="212"/>
      <c r="D218" s="212"/>
      <c r="E218" s="212"/>
      <c r="F218" s="212"/>
      <c r="G218" s="212"/>
      <c r="H218" s="242"/>
      <c r="I218" s="210"/>
      <c r="J218" s="210"/>
      <c r="K218" s="210"/>
      <c r="L218" s="210"/>
      <c r="M218" s="210"/>
      <c r="N218" s="210"/>
      <c r="O218" s="210"/>
      <c r="P218" s="210"/>
      <c r="Q218" s="210"/>
      <c r="R218" s="210"/>
      <c r="S218" s="209"/>
      <c r="T218" s="207"/>
      <c r="U218" s="209"/>
      <c r="V218" s="207"/>
      <c r="W218" s="206"/>
      <c r="X218" s="206"/>
      <c r="Y218" s="207"/>
      <c r="Z218" s="206"/>
      <c r="AA218" s="206"/>
      <c r="AB218" s="207"/>
      <c r="AC218" s="206"/>
      <c r="AD218" s="206"/>
      <c r="AE218" s="207"/>
      <c r="AF218" s="206"/>
      <c r="AG218" s="206"/>
      <c r="AH218" s="208"/>
      <c r="AI218" s="206"/>
      <c r="AJ218" s="206"/>
      <c r="AK218" s="207"/>
      <c r="AL218" s="206"/>
      <c r="AM218" s="206"/>
      <c r="AN218" s="207"/>
      <c r="AO218" s="206"/>
      <c r="AP218" s="206"/>
      <c r="AQ218" s="207"/>
      <c r="AR218" s="206"/>
      <c r="AS218" s="206"/>
      <c r="AT218" s="207"/>
      <c r="AU218" s="206"/>
      <c r="AV218" s="206"/>
      <c r="AW218" s="207"/>
      <c r="AX218" s="206"/>
      <c r="AY218" s="206"/>
      <c r="AZ218" s="207"/>
      <c r="BA218" s="206"/>
      <c r="BB218" s="207"/>
      <c r="BC218" s="206"/>
      <c r="BD218" s="206"/>
      <c r="BE218" s="207"/>
      <c r="BF218" s="206"/>
      <c r="BG218" s="206"/>
      <c r="BH218" s="207"/>
      <c r="BI218" s="206"/>
      <c r="BJ218" s="206"/>
      <c r="BK218" s="207"/>
      <c r="BL218" s="226"/>
      <c r="BM218" s="246"/>
      <c r="BN218" s="236">
        <f t="shared" si="124"/>
        <v>72.592592592592595</v>
      </c>
      <c r="BO218" s="219">
        <f t="shared" si="126"/>
        <v>67.500000000000028</v>
      </c>
      <c r="BP218" s="225">
        <f t="shared" si="128"/>
        <v>58.800000000000011</v>
      </c>
      <c r="BQ218" s="219">
        <f t="shared" si="129"/>
        <v>55.067637877211247</v>
      </c>
      <c r="BR218" s="251">
        <f t="shared" si="111"/>
        <v>48.595041322314067</v>
      </c>
      <c r="BS218" s="225">
        <f t="shared" si="131"/>
        <v>45.778546712802772</v>
      </c>
      <c r="BT218" s="219">
        <f t="shared" si="133"/>
        <v>43.199999999999996</v>
      </c>
      <c r="BU218" s="225">
        <f t="shared" ref="BU218:BU239" si="138" xml:space="preserve"> 30*(B218/B$217)^2</f>
        <v>31.481261154074957</v>
      </c>
      <c r="BV218" s="219">
        <f t="shared" si="135"/>
        <v>27.334710743801651</v>
      </c>
      <c r="BW218" s="225">
        <f t="shared" si="104"/>
        <v>26.133333333333336</v>
      </c>
      <c r="BX218" s="219">
        <f t="shared" si="108"/>
        <v>23.956541421457668</v>
      </c>
      <c r="BY218" s="225">
        <f t="shared" si="112"/>
        <v>21.168000000000003</v>
      </c>
      <c r="BZ218" s="219">
        <f t="shared" si="114"/>
        <v>19.571005917159766</v>
      </c>
      <c r="CA218" s="225">
        <f t="shared" si="115"/>
        <v>18.148148148148149</v>
      </c>
      <c r="CB218" s="219">
        <f t="shared" si="116"/>
        <v>16.288088642659279</v>
      </c>
      <c r="CC218" s="225">
        <f t="shared" si="117"/>
        <v>15.202528009192759</v>
      </c>
      <c r="CD218" s="219">
        <f t="shared" si="121"/>
        <v>12.525443786982251</v>
      </c>
      <c r="CE218" s="225">
        <f t="shared" si="122"/>
        <v>11.115311909262761</v>
      </c>
      <c r="CF218" s="219">
        <f t="shared" si="125"/>
        <v>10.208333333333336</v>
      </c>
      <c r="CG218" s="225">
        <f t="shared" si="127"/>
        <v>9.1620498614958468</v>
      </c>
      <c r="CH218" s="219">
        <f t="shared" si="130"/>
        <v>7.3245674740484441</v>
      </c>
      <c r="CI218" s="225">
        <f t="shared" si="134"/>
        <v>6.252362948960303</v>
      </c>
      <c r="CJ218" s="219">
        <f t="shared" si="136"/>
        <v>5.3994490358126725</v>
      </c>
      <c r="CK218" s="202">
        <f t="shared" si="137"/>
        <v>4.8927514792899416</v>
      </c>
      <c r="CL218" s="255"/>
      <c r="CM218" s="254"/>
    </row>
    <row r="219" spans="1:91" ht="10.5" customHeight="1" thickBot="1">
      <c r="A219" s="179" t="str">
        <f t="shared" si="119"/>
        <v/>
      </c>
      <c r="B219" s="201">
        <v>2.15</v>
      </c>
      <c r="C219" s="200"/>
      <c r="D219" s="200"/>
      <c r="E219" s="200"/>
      <c r="F219" s="200"/>
      <c r="G219" s="200"/>
      <c r="H219" s="249"/>
      <c r="I219" s="198"/>
      <c r="J219" s="198"/>
      <c r="K219" s="198"/>
      <c r="L219" s="198"/>
      <c r="M219" s="198"/>
      <c r="N219" s="198"/>
      <c r="O219" s="198"/>
      <c r="P219" s="198"/>
      <c r="Q219" s="198"/>
      <c r="R219" s="198"/>
      <c r="S219" s="197"/>
      <c r="T219" s="194"/>
      <c r="U219" s="197"/>
      <c r="V219" s="194"/>
      <c r="W219" s="195"/>
      <c r="X219" s="195"/>
      <c r="Y219" s="194"/>
      <c r="Z219" s="195"/>
      <c r="AA219" s="195"/>
      <c r="AB219" s="194"/>
      <c r="AC219" s="195"/>
      <c r="AD219" s="195"/>
      <c r="AE219" s="194"/>
      <c r="AF219" s="195"/>
      <c r="AG219" s="195"/>
      <c r="AH219" s="196"/>
      <c r="AI219" s="195"/>
      <c r="AJ219" s="195"/>
      <c r="AK219" s="194"/>
      <c r="AL219" s="195"/>
      <c r="AM219" s="195"/>
      <c r="AN219" s="194"/>
      <c r="AO219" s="195"/>
      <c r="AP219" s="195"/>
      <c r="AQ219" s="194"/>
      <c r="AR219" s="195"/>
      <c r="AS219" s="195"/>
      <c r="AT219" s="194"/>
      <c r="AU219" s="195"/>
      <c r="AV219" s="195"/>
      <c r="AW219" s="194"/>
      <c r="AX219" s="195"/>
      <c r="AY219" s="195"/>
      <c r="AZ219" s="194"/>
      <c r="BA219" s="195"/>
      <c r="BB219" s="194"/>
      <c r="BC219" s="195"/>
      <c r="BD219" s="195"/>
      <c r="BE219" s="194"/>
      <c r="BF219" s="195"/>
      <c r="BG219" s="195"/>
      <c r="BH219" s="194"/>
      <c r="BI219" s="195"/>
      <c r="BJ219" s="195"/>
      <c r="BK219" s="194"/>
      <c r="BL219" s="195"/>
      <c r="BM219" s="224"/>
      <c r="BN219" s="218"/>
      <c r="BO219" s="227">
        <f t="shared" si="126"/>
        <v>70.752551020408163</v>
      </c>
      <c r="BP219" s="223">
        <f t="shared" si="128"/>
        <v>61.633333333333333</v>
      </c>
      <c r="BQ219" s="217">
        <f t="shared" si="129"/>
        <v>57.721123829344421</v>
      </c>
      <c r="BR219" s="252">
        <f t="shared" si="111"/>
        <v>50.936639118457293</v>
      </c>
      <c r="BS219" s="223">
        <f t="shared" si="131"/>
        <v>47.984429065743939</v>
      </c>
      <c r="BT219" s="217">
        <f t="shared" si="133"/>
        <v>45.281632653061216</v>
      </c>
      <c r="BU219" s="223">
        <f t="shared" si="138"/>
        <v>32.998215348007143</v>
      </c>
      <c r="BV219" s="217">
        <f t="shared" si="135"/>
        <v>28.651859504132226</v>
      </c>
      <c r="BW219" s="223">
        <f t="shared" si="104"/>
        <v>27.392592592592589</v>
      </c>
      <c r="BX219" s="217">
        <f t="shared" si="108"/>
        <v>25.110909913988223</v>
      </c>
      <c r="BY219" s="223">
        <f t="shared" si="112"/>
        <v>22.187999999999999</v>
      </c>
      <c r="BZ219" s="217">
        <f t="shared" si="114"/>
        <v>20.514053254437869</v>
      </c>
      <c r="CA219" s="223">
        <f t="shared" si="115"/>
        <v>19.022633744855959</v>
      </c>
      <c r="CB219" s="217">
        <f t="shared" si="116"/>
        <v>17.07294552169898</v>
      </c>
      <c r="CC219" s="223">
        <f t="shared" si="117"/>
        <v>15.935076127549552</v>
      </c>
      <c r="CD219" s="217">
        <f t="shared" si="121"/>
        <v>13.128994082840237</v>
      </c>
      <c r="CE219" s="223">
        <f t="shared" si="122"/>
        <v>11.650913673597984</v>
      </c>
      <c r="CF219" s="217">
        <f t="shared" si="125"/>
        <v>10.700231481481481</v>
      </c>
      <c r="CG219" s="223">
        <f t="shared" si="127"/>
        <v>9.6035318559556782</v>
      </c>
      <c r="CH219" s="217">
        <f t="shared" si="130"/>
        <v>7.6775086505190302</v>
      </c>
      <c r="CI219" s="223">
        <f t="shared" si="134"/>
        <v>6.5536389413988667</v>
      </c>
      <c r="CJ219" s="217">
        <f t="shared" si="136"/>
        <v>5.6596265687174769</v>
      </c>
      <c r="CK219" s="191">
        <f t="shared" si="137"/>
        <v>5.1285133136094672</v>
      </c>
      <c r="CL219" s="259"/>
      <c r="CM219" s="258"/>
    </row>
    <row r="220" spans="1:91" ht="10.5" customHeight="1">
      <c r="A220" s="179" t="str">
        <f t="shared" si="119"/>
        <v/>
      </c>
      <c r="B220" s="190">
        <v>2.2000000000000002</v>
      </c>
      <c r="C220" s="189"/>
      <c r="D220" s="189"/>
      <c r="E220" s="189"/>
      <c r="F220" s="189"/>
      <c r="G220" s="189"/>
      <c r="H220" s="245"/>
      <c r="I220" s="187"/>
      <c r="J220" s="187"/>
      <c r="K220" s="187"/>
      <c r="L220" s="187"/>
      <c r="M220" s="187"/>
      <c r="N220" s="187"/>
      <c r="O220" s="187"/>
      <c r="P220" s="187"/>
      <c r="Q220" s="187"/>
      <c r="R220" s="187"/>
      <c r="S220" s="186"/>
      <c r="T220" s="183"/>
      <c r="U220" s="186"/>
      <c r="V220" s="183"/>
      <c r="W220" s="184"/>
      <c r="X220" s="184"/>
      <c r="Y220" s="183"/>
      <c r="Z220" s="184"/>
      <c r="AA220" s="184"/>
      <c r="AB220" s="183"/>
      <c r="AC220" s="184"/>
      <c r="AD220" s="184"/>
      <c r="AE220" s="183"/>
      <c r="AF220" s="184"/>
      <c r="AG220" s="184"/>
      <c r="AH220" s="185"/>
      <c r="AI220" s="184"/>
      <c r="AJ220" s="184"/>
      <c r="AK220" s="183"/>
      <c r="AL220" s="184"/>
      <c r="AM220" s="184"/>
      <c r="AN220" s="183"/>
      <c r="AO220" s="184"/>
      <c r="AP220" s="184"/>
      <c r="AQ220" s="183"/>
      <c r="AR220" s="184"/>
      <c r="AS220" s="184"/>
      <c r="AT220" s="183"/>
      <c r="AU220" s="184"/>
      <c r="AV220" s="184"/>
      <c r="AW220" s="183"/>
      <c r="AX220" s="184"/>
      <c r="AY220" s="184"/>
      <c r="AZ220" s="183"/>
      <c r="BA220" s="184"/>
      <c r="BB220" s="183"/>
      <c r="BC220" s="184"/>
      <c r="BD220" s="184"/>
      <c r="BE220" s="183"/>
      <c r="BF220" s="184"/>
      <c r="BG220" s="184"/>
      <c r="BH220" s="183"/>
      <c r="BI220" s="184"/>
      <c r="BJ220" s="184"/>
      <c r="BK220" s="183"/>
      <c r="BL220" s="184"/>
      <c r="BM220" s="184"/>
      <c r="BN220" s="183"/>
      <c r="BO220" s="232"/>
      <c r="BP220" s="221">
        <f t="shared" si="128"/>
        <v>64.533333333333346</v>
      </c>
      <c r="BQ220" s="214">
        <f t="shared" si="129"/>
        <v>60.437044745057243</v>
      </c>
      <c r="BR220" s="251">
        <f t="shared" si="111"/>
        <v>53.333333333333343</v>
      </c>
      <c r="BS220" s="221">
        <f t="shared" si="131"/>
        <v>50.242214532871976</v>
      </c>
      <c r="BT220" s="214">
        <f t="shared" si="133"/>
        <v>47.412244897959198</v>
      </c>
      <c r="BU220" s="221">
        <f t="shared" si="138"/>
        <v>34.550862581796565</v>
      </c>
      <c r="BV220" s="214">
        <f t="shared" si="135"/>
        <v>30</v>
      </c>
      <c r="BW220" s="221">
        <f t="shared" si="104"/>
        <v>28.681481481481487</v>
      </c>
      <c r="BX220" s="214">
        <f t="shared" si="108"/>
        <v>26.292440018107744</v>
      </c>
      <c r="BY220" s="221">
        <f t="shared" si="112"/>
        <v>23.232000000000006</v>
      </c>
      <c r="BZ220" s="214">
        <f t="shared" si="114"/>
        <v>21.479289940828401</v>
      </c>
      <c r="CA220" s="221">
        <f t="shared" si="115"/>
        <v>19.917695473251033</v>
      </c>
      <c r="CB220" s="214">
        <f t="shared" si="116"/>
        <v>17.876269621421979</v>
      </c>
      <c r="CC220" s="221">
        <f t="shared" si="117"/>
        <v>16.684860672220626</v>
      </c>
      <c r="CD220" s="214">
        <f t="shared" si="121"/>
        <v>13.74674556213018</v>
      </c>
      <c r="CE220" s="221">
        <f t="shared" si="122"/>
        <v>12.199117832388156</v>
      </c>
      <c r="CF220" s="214">
        <f t="shared" si="125"/>
        <v>11.203703703703706</v>
      </c>
      <c r="CG220" s="221">
        <f t="shared" si="127"/>
        <v>10.055401662049862</v>
      </c>
      <c r="CH220" s="214">
        <f t="shared" si="130"/>
        <v>8.0387543252595179</v>
      </c>
      <c r="CI220" s="221">
        <f t="shared" si="134"/>
        <v>6.8620037807183385</v>
      </c>
      <c r="CJ220" s="214">
        <f t="shared" si="136"/>
        <v>5.9259259259259265</v>
      </c>
      <c r="CK220" s="180">
        <f t="shared" si="137"/>
        <v>5.3698224852071004</v>
      </c>
      <c r="CL220" s="257"/>
      <c r="CM220" s="256"/>
    </row>
    <row r="221" spans="1:91" ht="10.5" customHeight="1">
      <c r="A221" s="179" t="str">
        <f t="shared" si="119"/>
        <v/>
      </c>
      <c r="B221" s="190">
        <v>2.25</v>
      </c>
      <c r="C221" s="189"/>
      <c r="D221" s="189"/>
      <c r="E221" s="189"/>
      <c r="F221" s="189"/>
      <c r="G221" s="189"/>
      <c r="H221" s="245"/>
      <c r="I221" s="187"/>
      <c r="J221" s="187"/>
      <c r="K221" s="187"/>
      <c r="L221" s="187"/>
      <c r="M221" s="187"/>
      <c r="N221" s="187"/>
      <c r="O221" s="187"/>
      <c r="P221" s="187"/>
      <c r="Q221" s="187"/>
      <c r="R221" s="187"/>
      <c r="S221" s="186"/>
      <c r="T221" s="183"/>
      <c r="U221" s="186"/>
      <c r="V221" s="183"/>
      <c r="W221" s="184"/>
      <c r="X221" s="184"/>
      <c r="Y221" s="183"/>
      <c r="Z221" s="184"/>
      <c r="AA221" s="184"/>
      <c r="AB221" s="183"/>
      <c r="AC221" s="184"/>
      <c r="AD221" s="184"/>
      <c r="AE221" s="183"/>
      <c r="AF221" s="184"/>
      <c r="AG221" s="184"/>
      <c r="AH221" s="185"/>
      <c r="AI221" s="184"/>
      <c r="AJ221" s="184"/>
      <c r="AK221" s="183"/>
      <c r="AL221" s="184"/>
      <c r="AM221" s="184"/>
      <c r="AN221" s="183"/>
      <c r="AO221" s="184"/>
      <c r="AP221" s="184"/>
      <c r="AQ221" s="183"/>
      <c r="AR221" s="184"/>
      <c r="AS221" s="184"/>
      <c r="AT221" s="183"/>
      <c r="AU221" s="184"/>
      <c r="AV221" s="184"/>
      <c r="AW221" s="183"/>
      <c r="AX221" s="184"/>
      <c r="AY221" s="184"/>
      <c r="AZ221" s="183"/>
      <c r="BA221" s="184"/>
      <c r="BB221" s="183"/>
      <c r="BC221" s="184"/>
      <c r="BD221" s="184"/>
      <c r="BE221" s="183"/>
      <c r="BF221" s="184"/>
      <c r="BG221" s="184"/>
      <c r="BH221" s="183"/>
      <c r="BI221" s="184"/>
      <c r="BJ221" s="184"/>
      <c r="BK221" s="183"/>
      <c r="BL221" s="184"/>
      <c r="BM221" s="184"/>
      <c r="BN221" s="183"/>
      <c r="BO221" s="232"/>
      <c r="BP221" s="221">
        <f t="shared" si="128"/>
        <v>67.5</v>
      </c>
      <c r="BQ221" s="214">
        <f t="shared" si="129"/>
        <v>63.215400624349641</v>
      </c>
      <c r="BR221" s="252">
        <f t="shared" si="111"/>
        <v>55.785123966942159</v>
      </c>
      <c r="BS221" s="221">
        <f t="shared" si="131"/>
        <v>52.55190311418685</v>
      </c>
      <c r="BT221" s="214">
        <f t="shared" si="133"/>
        <v>49.591836734693885</v>
      </c>
      <c r="BU221" s="221">
        <f t="shared" si="138"/>
        <v>36.139202855443195</v>
      </c>
      <c r="BV221" s="214">
        <f t="shared" si="135"/>
        <v>31.379132231404959</v>
      </c>
      <c r="BW221" s="235">
        <v>30</v>
      </c>
      <c r="BX221" s="214">
        <f t="shared" si="108"/>
        <v>27.501131733816205</v>
      </c>
      <c r="BY221" s="221">
        <f t="shared" si="112"/>
        <v>24.3</v>
      </c>
      <c r="BZ221" s="214">
        <f t="shared" si="114"/>
        <v>22.466715976331358</v>
      </c>
      <c r="CA221" s="221">
        <f t="shared" si="115"/>
        <v>20.833333333333329</v>
      </c>
      <c r="CB221" s="214">
        <f t="shared" si="116"/>
        <v>18.698060941828256</v>
      </c>
      <c r="CC221" s="221">
        <f t="shared" si="117"/>
        <v>17.451881643205976</v>
      </c>
      <c r="CD221" s="214">
        <f t="shared" si="121"/>
        <v>14.378698224852069</v>
      </c>
      <c r="CE221" s="221">
        <f t="shared" si="122"/>
        <v>12.759924385633271</v>
      </c>
      <c r="CF221" s="214">
        <f t="shared" si="125"/>
        <v>11.71875</v>
      </c>
      <c r="CG221" s="221">
        <f t="shared" si="127"/>
        <v>10.517659279778396</v>
      </c>
      <c r="CH221" s="214">
        <f t="shared" si="130"/>
        <v>8.4083044982698976</v>
      </c>
      <c r="CI221" s="221">
        <f t="shared" si="134"/>
        <v>7.1774574669187157</v>
      </c>
      <c r="CJ221" s="214">
        <f t="shared" si="136"/>
        <v>6.1983471074380159</v>
      </c>
      <c r="CK221" s="180">
        <f t="shared" si="137"/>
        <v>5.6166789940828394</v>
      </c>
      <c r="CL221" s="257"/>
      <c r="CM221" s="256"/>
    </row>
    <row r="222" spans="1:91" ht="10.5" customHeight="1" thickBot="1">
      <c r="A222" s="179" t="str">
        <f t="shared" si="119"/>
        <v/>
      </c>
      <c r="B222" s="213">
        <v>2.2999999999999998</v>
      </c>
      <c r="C222" s="212"/>
      <c r="D222" s="212"/>
      <c r="E222" s="212"/>
      <c r="F222" s="212"/>
      <c r="G222" s="212"/>
      <c r="H222" s="242"/>
      <c r="I222" s="210"/>
      <c r="J222" s="210"/>
      <c r="K222" s="210"/>
      <c r="L222" s="210"/>
      <c r="M222" s="210"/>
      <c r="N222" s="210"/>
      <c r="O222" s="210"/>
      <c r="P222" s="210"/>
      <c r="Q222" s="210"/>
      <c r="R222" s="210"/>
      <c r="S222" s="209"/>
      <c r="T222" s="207"/>
      <c r="U222" s="209"/>
      <c r="V222" s="207"/>
      <c r="W222" s="206"/>
      <c r="X222" s="206"/>
      <c r="Y222" s="207"/>
      <c r="Z222" s="206"/>
      <c r="AA222" s="206"/>
      <c r="AB222" s="207"/>
      <c r="AC222" s="206"/>
      <c r="AD222" s="206"/>
      <c r="AE222" s="207"/>
      <c r="AF222" s="206"/>
      <c r="AG222" s="206"/>
      <c r="AH222" s="208"/>
      <c r="AI222" s="206"/>
      <c r="AJ222" s="206"/>
      <c r="AK222" s="207"/>
      <c r="AL222" s="206"/>
      <c r="AM222" s="206"/>
      <c r="AN222" s="207"/>
      <c r="AO222" s="206"/>
      <c r="AP222" s="206"/>
      <c r="AQ222" s="207"/>
      <c r="AR222" s="206"/>
      <c r="AS222" s="206"/>
      <c r="AT222" s="207"/>
      <c r="AU222" s="206"/>
      <c r="AV222" s="206"/>
      <c r="AW222" s="207"/>
      <c r="AX222" s="206"/>
      <c r="AY222" s="206"/>
      <c r="AZ222" s="207"/>
      <c r="BA222" s="206"/>
      <c r="BB222" s="207"/>
      <c r="BC222" s="206"/>
      <c r="BD222" s="206"/>
      <c r="BE222" s="207"/>
      <c r="BF222" s="206"/>
      <c r="BG222" s="206"/>
      <c r="BH222" s="207"/>
      <c r="BI222" s="206"/>
      <c r="BJ222" s="206"/>
      <c r="BK222" s="207"/>
      <c r="BL222" s="206"/>
      <c r="BM222" s="206"/>
      <c r="BN222" s="207"/>
      <c r="BO222" s="226"/>
      <c r="BP222" s="236">
        <f t="shared" si="128"/>
        <v>70.533333333333331</v>
      </c>
      <c r="BQ222" s="219">
        <f t="shared" si="129"/>
        <v>66.056191467221623</v>
      </c>
      <c r="BR222" s="251">
        <f t="shared" si="111"/>
        <v>58.292011019283734</v>
      </c>
      <c r="BS222" s="225">
        <f t="shared" si="131"/>
        <v>54.913494809688572</v>
      </c>
      <c r="BT222" s="219">
        <f t="shared" si="133"/>
        <v>51.820408163265306</v>
      </c>
      <c r="BU222" s="225">
        <f t="shared" si="138"/>
        <v>37.76323616894706</v>
      </c>
      <c r="BV222" s="219">
        <f t="shared" si="135"/>
        <v>32.78925619834709</v>
      </c>
      <c r="BW222" s="225">
        <f t="shared" ref="BW222:BW245" si="139" xml:space="preserve"> 30*(B222/B$221)^2</f>
        <v>31.348148148148141</v>
      </c>
      <c r="BX222" s="219">
        <f t="shared" si="108"/>
        <v>28.736985061113618</v>
      </c>
      <c r="BY222" s="225">
        <f t="shared" si="112"/>
        <v>25.391999999999996</v>
      </c>
      <c r="BZ222" s="219">
        <f t="shared" si="114"/>
        <v>23.476331360946737</v>
      </c>
      <c r="CA222" s="225">
        <f t="shared" si="115"/>
        <v>21.769547325102877</v>
      </c>
      <c r="CB222" s="219">
        <f t="shared" si="116"/>
        <v>19.538319482917817</v>
      </c>
      <c r="CC222" s="225">
        <f t="shared" si="117"/>
        <v>18.236139040505599</v>
      </c>
      <c r="CD222" s="219">
        <f t="shared" si="121"/>
        <v>15.024852071005913</v>
      </c>
      <c r="CE222" s="225">
        <f t="shared" si="122"/>
        <v>13.333333333333332</v>
      </c>
      <c r="CF222" s="219">
        <f t="shared" si="125"/>
        <v>12.245370370370368</v>
      </c>
      <c r="CG222" s="225">
        <f t="shared" si="127"/>
        <v>10.990304709141274</v>
      </c>
      <c r="CH222" s="219">
        <f t="shared" si="130"/>
        <v>8.7861591695501708</v>
      </c>
      <c r="CI222" s="225">
        <f t="shared" si="134"/>
        <v>7.5</v>
      </c>
      <c r="CJ222" s="219">
        <f t="shared" si="136"/>
        <v>6.4768901132537477</v>
      </c>
      <c r="CK222" s="202">
        <f t="shared" si="137"/>
        <v>5.8690828402366844</v>
      </c>
      <c r="CL222" s="255"/>
      <c r="CM222" s="254"/>
    </row>
    <row r="223" spans="1:91" ht="10.5" customHeight="1">
      <c r="A223" s="179" t="str">
        <f t="shared" si="119"/>
        <v/>
      </c>
      <c r="B223" s="201">
        <v>2.35</v>
      </c>
      <c r="C223" s="200"/>
      <c r="D223" s="200"/>
      <c r="E223" s="200"/>
      <c r="F223" s="200"/>
      <c r="G223" s="200"/>
      <c r="H223" s="249"/>
      <c r="I223" s="198"/>
      <c r="J223" s="198"/>
      <c r="K223" s="198"/>
      <c r="L223" s="198"/>
      <c r="M223" s="198"/>
      <c r="N223" s="198"/>
      <c r="O223" s="198"/>
      <c r="P223" s="198"/>
      <c r="Q223" s="198"/>
      <c r="R223" s="198"/>
      <c r="S223" s="197"/>
      <c r="T223" s="194"/>
      <c r="U223" s="197"/>
      <c r="V223" s="194"/>
      <c r="W223" s="195"/>
      <c r="X223" s="195"/>
      <c r="Y223" s="194"/>
      <c r="Z223" s="195"/>
      <c r="AA223" s="195"/>
      <c r="AB223" s="194"/>
      <c r="AC223" s="195"/>
      <c r="AD223" s="195"/>
      <c r="AE223" s="194"/>
      <c r="AF223" s="195"/>
      <c r="AG223" s="195"/>
      <c r="AH223" s="196"/>
      <c r="AI223" s="195"/>
      <c r="AJ223" s="195"/>
      <c r="AK223" s="194"/>
      <c r="AL223" s="195"/>
      <c r="AM223" s="195"/>
      <c r="AN223" s="194"/>
      <c r="AO223" s="195"/>
      <c r="AP223" s="195"/>
      <c r="AQ223" s="194"/>
      <c r="AR223" s="195"/>
      <c r="AS223" s="195"/>
      <c r="AT223" s="194"/>
      <c r="AU223" s="195"/>
      <c r="AV223" s="195"/>
      <c r="AW223" s="194"/>
      <c r="AX223" s="195"/>
      <c r="AY223" s="195"/>
      <c r="AZ223" s="194"/>
      <c r="BA223" s="195"/>
      <c r="BB223" s="194"/>
      <c r="BC223" s="195"/>
      <c r="BD223" s="195"/>
      <c r="BE223" s="194"/>
      <c r="BF223" s="195"/>
      <c r="BG223" s="195"/>
      <c r="BH223" s="194"/>
      <c r="BI223" s="195"/>
      <c r="BJ223" s="195"/>
      <c r="BK223" s="194"/>
      <c r="BL223" s="195"/>
      <c r="BM223" s="195"/>
      <c r="BN223" s="194"/>
      <c r="BO223" s="195"/>
      <c r="BP223" s="228"/>
      <c r="BQ223" s="217">
        <f t="shared" si="129"/>
        <v>68.959417273673267</v>
      </c>
      <c r="BR223" s="252">
        <f t="shared" si="111"/>
        <v>60.853994490358133</v>
      </c>
      <c r="BS223" s="223">
        <f t="shared" si="131"/>
        <v>57.32698961937718</v>
      </c>
      <c r="BT223" s="217">
        <f t="shared" si="133"/>
        <v>54.097959183673481</v>
      </c>
      <c r="BU223" s="223">
        <f t="shared" si="138"/>
        <v>39.422962522308161</v>
      </c>
      <c r="BV223" s="217">
        <f t="shared" si="135"/>
        <v>34.230371900826441</v>
      </c>
      <c r="BW223" s="223">
        <f t="shared" si="139"/>
        <v>32.725925925925935</v>
      </c>
      <c r="BX223" s="234">
        <v>30</v>
      </c>
      <c r="BY223" s="223">
        <f t="shared" si="112"/>
        <v>26.508000000000006</v>
      </c>
      <c r="BZ223" s="217">
        <f t="shared" si="114"/>
        <v>24.508136094674555</v>
      </c>
      <c r="CA223" s="223">
        <f t="shared" si="115"/>
        <v>22.726337448559669</v>
      </c>
      <c r="CB223" s="217">
        <f t="shared" si="116"/>
        <v>20.397045244690677</v>
      </c>
      <c r="CC223" s="223">
        <f t="shared" si="117"/>
        <v>19.037632864119505</v>
      </c>
      <c r="CD223" s="217">
        <f t="shared" si="121"/>
        <v>15.685207100591715</v>
      </c>
      <c r="CE223" s="223">
        <f t="shared" si="122"/>
        <v>13.919344675488343</v>
      </c>
      <c r="CF223" s="217">
        <f t="shared" si="125"/>
        <v>12.783564814814815</v>
      </c>
      <c r="CG223" s="223">
        <f t="shared" si="127"/>
        <v>11.473337950138506</v>
      </c>
      <c r="CH223" s="217">
        <f t="shared" si="130"/>
        <v>9.1723183391003484</v>
      </c>
      <c r="CI223" s="223">
        <f t="shared" si="134"/>
        <v>7.829631379962195</v>
      </c>
      <c r="CJ223" s="217">
        <f t="shared" si="136"/>
        <v>6.7615549433731248</v>
      </c>
      <c r="CK223" s="191">
        <f t="shared" si="137"/>
        <v>6.1270340236686387</v>
      </c>
      <c r="CL223" s="253">
        <f t="shared" ref="CL223:CL254" si="140" xml:space="preserve"> 30*(B223/B$286)^2</f>
        <v>4.6020833333333329</v>
      </c>
      <c r="CM223" s="247"/>
    </row>
    <row r="224" spans="1:91" ht="10.5" customHeight="1" thickBot="1">
      <c r="A224" s="179" t="str">
        <f t="shared" si="119"/>
        <v/>
      </c>
      <c r="B224" s="190">
        <v>2.4</v>
      </c>
      <c r="C224" s="189"/>
      <c r="D224" s="189"/>
      <c r="E224" s="189"/>
      <c r="F224" s="189"/>
      <c r="G224" s="189"/>
      <c r="H224" s="245"/>
      <c r="I224" s="187"/>
      <c r="J224" s="187"/>
      <c r="K224" s="187"/>
      <c r="L224" s="187"/>
      <c r="M224" s="187"/>
      <c r="N224" s="187"/>
      <c r="O224" s="187"/>
      <c r="P224" s="187"/>
      <c r="Q224" s="187"/>
      <c r="R224" s="187"/>
      <c r="S224" s="186"/>
      <c r="T224" s="183"/>
      <c r="U224" s="186"/>
      <c r="V224" s="183"/>
      <c r="W224" s="184"/>
      <c r="X224" s="184"/>
      <c r="Y224" s="183"/>
      <c r="Z224" s="184"/>
      <c r="AA224" s="184"/>
      <c r="AB224" s="183"/>
      <c r="AC224" s="184"/>
      <c r="AD224" s="184"/>
      <c r="AE224" s="183"/>
      <c r="AF224" s="184"/>
      <c r="AG224" s="184"/>
      <c r="AH224" s="185"/>
      <c r="AI224" s="184"/>
      <c r="AJ224" s="184"/>
      <c r="AK224" s="183"/>
      <c r="AL224" s="184"/>
      <c r="AM224" s="184"/>
      <c r="AN224" s="183"/>
      <c r="AO224" s="184"/>
      <c r="AP224" s="184"/>
      <c r="AQ224" s="183"/>
      <c r="AR224" s="184"/>
      <c r="AS224" s="184"/>
      <c r="AT224" s="183"/>
      <c r="AU224" s="184"/>
      <c r="AV224" s="184"/>
      <c r="AW224" s="183"/>
      <c r="AX224" s="184"/>
      <c r="AY224" s="184"/>
      <c r="AZ224" s="183"/>
      <c r="BA224" s="184"/>
      <c r="BB224" s="183"/>
      <c r="BC224" s="184"/>
      <c r="BD224" s="184"/>
      <c r="BE224" s="183"/>
      <c r="BF224" s="184"/>
      <c r="BG224" s="184"/>
      <c r="BH224" s="183"/>
      <c r="BI224" s="184"/>
      <c r="BJ224" s="184"/>
      <c r="BK224" s="183"/>
      <c r="BL224" s="184"/>
      <c r="BM224" s="184"/>
      <c r="BN224" s="183"/>
      <c r="BO224" s="184"/>
      <c r="BP224" s="215"/>
      <c r="BQ224" s="227">
        <f t="shared" si="129"/>
        <v>71.925078043704474</v>
      </c>
      <c r="BR224" s="251">
        <f t="shared" si="111"/>
        <v>63.471074380165291</v>
      </c>
      <c r="BS224" s="221">
        <f t="shared" si="131"/>
        <v>59.792387543252602</v>
      </c>
      <c r="BT224" s="214">
        <f t="shared" si="133"/>
        <v>56.424489795918369</v>
      </c>
      <c r="BU224" s="221">
        <f t="shared" si="138"/>
        <v>41.118381915526484</v>
      </c>
      <c r="BV224" s="214">
        <f t="shared" si="135"/>
        <v>35.70247933884297</v>
      </c>
      <c r="BW224" s="221">
        <f t="shared" si="139"/>
        <v>34.133333333333333</v>
      </c>
      <c r="BX224" s="214">
        <f t="shared" ref="BX224:BX248" si="141" xml:space="preserve"> 30*(B224/B$223)^2</f>
        <v>31.290176550475323</v>
      </c>
      <c r="BY224" s="221">
        <f t="shared" si="112"/>
        <v>27.648</v>
      </c>
      <c r="BZ224" s="214">
        <f t="shared" si="114"/>
        <v>25.562130177514788</v>
      </c>
      <c r="CA224" s="221">
        <f t="shared" si="115"/>
        <v>23.703703703703702</v>
      </c>
      <c r="CB224" s="214">
        <f t="shared" si="116"/>
        <v>21.27423822714681</v>
      </c>
      <c r="CC224" s="221">
        <f t="shared" si="117"/>
        <v>19.856363114047685</v>
      </c>
      <c r="CD224" s="214">
        <f t="shared" si="121"/>
        <v>16.359763313609463</v>
      </c>
      <c r="CE224" s="221">
        <f t="shared" si="122"/>
        <v>14.517958412098297</v>
      </c>
      <c r="CF224" s="214">
        <f t="shared" si="125"/>
        <v>13.333333333333332</v>
      </c>
      <c r="CG224" s="221">
        <f t="shared" si="127"/>
        <v>11.966759002770083</v>
      </c>
      <c r="CH224" s="214">
        <f t="shared" si="130"/>
        <v>9.5667820069204144</v>
      </c>
      <c r="CI224" s="221">
        <f t="shared" si="134"/>
        <v>8.1663516068052928</v>
      </c>
      <c r="CJ224" s="214">
        <f t="shared" si="136"/>
        <v>7.0523415977961426</v>
      </c>
      <c r="CK224" s="180">
        <f t="shared" si="137"/>
        <v>6.3905325443786971</v>
      </c>
      <c r="CL224" s="181">
        <f t="shared" si="140"/>
        <v>4.7999999999999989</v>
      </c>
      <c r="CM224" s="243"/>
    </row>
    <row r="225" spans="1:91" ht="10.5" customHeight="1">
      <c r="A225" s="179" t="str">
        <f t="shared" si="119"/>
        <v/>
      </c>
      <c r="B225" s="190">
        <v>2.4500000000000002</v>
      </c>
      <c r="C225" s="189"/>
      <c r="D225" s="189"/>
      <c r="E225" s="189"/>
      <c r="F225" s="189"/>
      <c r="G225" s="189"/>
      <c r="H225" s="245"/>
      <c r="I225" s="187"/>
      <c r="J225" s="187"/>
      <c r="K225" s="187"/>
      <c r="L225" s="187"/>
      <c r="M225" s="187"/>
      <c r="N225" s="187"/>
      <c r="O225" s="187"/>
      <c r="P225" s="187"/>
      <c r="Q225" s="187"/>
      <c r="R225" s="187"/>
      <c r="S225" s="186"/>
      <c r="T225" s="183"/>
      <c r="U225" s="186"/>
      <c r="V225" s="183"/>
      <c r="W225" s="184"/>
      <c r="X225" s="184"/>
      <c r="Y225" s="183"/>
      <c r="Z225" s="184"/>
      <c r="AA225" s="184"/>
      <c r="AB225" s="183"/>
      <c r="AC225" s="184"/>
      <c r="AD225" s="184"/>
      <c r="AE225" s="183"/>
      <c r="AF225" s="184"/>
      <c r="AG225" s="184"/>
      <c r="AH225" s="185"/>
      <c r="AI225" s="184"/>
      <c r="AJ225" s="184"/>
      <c r="AK225" s="183"/>
      <c r="AL225" s="184"/>
      <c r="AM225" s="184"/>
      <c r="AN225" s="183"/>
      <c r="AO225" s="184"/>
      <c r="AP225" s="184"/>
      <c r="AQ225" s="183"/>
      <c r="AR225" s="184"/>
      <c r="AS225" s="184"/>
      <c r="AT225" s="183"/>
      <c r="AU225" s="184"/>
      <c r="AV225" s="184"/>
      <c r="AW225" s="183"/>
      <c r="AX225" s="184"/>
      <c r="AY225" s="184"/>
      <c r="AZ225" s="183"/>
      <c r="BA225" s="184"/>
      <c r="BB225" s="183"/>
      <c r="BC225" s="184"/>
      <c r="BD225" s="184"/>
      <c r="BE225" s="183"/>
      <c r="BF225" s="184"/>
      <c r="BG225" s="184"/>
      <c r="BH225" s="183"/>
      <c r="BI225" s="184"/>
      <c r="BJ225" s="184"/>
      <c r="BK225" s="183"/>
      <c r="BL225" s="184"/>
      <c r="BM225" s="184"/>
      <c r="BN225" s="183"/>
      <c r="BO225" s="184"/>
      <c r="BP225" s="183"/>
      <c r="BQ225" s="232"/>
      <c r="BR225" s="252">
        <f t="shared" si="111"/>
        <v>66.143250688705251</v>
      </c>
      <c r="BS225" s="221">
        <f t="shared" si="131"/>
        <v>62.309688581314894</v>
      </c>
      <c r="BT225" s="214">
        <f t="shared" si="133"/>
        <v>58.800000000000011</v>
      </c>
      <c r="BU225" s="221">
        <f t="shared" si="138"/>
        <v>42.849494348602036</v>
      </c>
      <c r="BV225" s="214">
        <f t="shared" si="135"/>
        <v>37.205578512396684</v>
      </c>
      <c r="BW225" s="221">
        <f t="shared" si="139"/>
        <v>35.570370370370377</v>
      </c>
      <c r="BX225" s="214">
        <f t="shared" si="141"/>
        <v>32.607514712539619</v>
      </c>
      <c r="BY225" s="221">
        <f t="shared" si="112"/>
        <v>28.812000000000005</v>
      </c>
      <c r="BZ225" s="214">
        <f t="shared" si="114"/>
        <v>26.638313609467456</v>
      </c>
      <c r="CA225" s="221">
        <f t="shared" si="115"/>
        <v>24.701646090534979</v>
      </c>
      <c r="CB225" s="214">
        <f t="shared" si="116"/>
        <v>22.169898430286242</v>
      </c>
      <c r="CC225" s="221">
        <f t="shared" si="117"/>
        <v>20.692329790290145</v>
      </c>
      <c r="CD225" s="214">
        <f t="shared" si="121"/>
        <v>17.048520710059176</v>
      </c>
      <c r="CE225" s="221">
        <f t="shared" si="122"/>
        <v>15.129174543163202</v>
      </c>
      <c r="CF225" s="214">
        <f t="shared" si="125"/>
        <v>13.894675925925927</v>
      </c>
      <c r="CG225" s="221">
        <f t="shared" si="127"/>
        <v>12.470567867036015</v>
      </c>
      <c r="CH225" s="214">
        <f t="shared" si="130"/>
        <v>9.9695501730103828</v>
      </c>
      <c r="CI225" s="221">
        <f t="shared" si="134"/>
        <v>8.5101606805293031</v>
      </c>
      <c r="CJ225" s="214">
        <f t="shared" si="136"/>
        <v>7.3492500765228046</v>
      </c>
      <c r="CK225" s="180">
        <f t="shared" si="137"/>
        <v>6.659578402366864</v>
      </c>
      <c r="CL225" s="181">
        <f t="shared" si="140"/>
        <v>5.0020833333333341</v>
      </c>
      <c r="CM225" s="243"/>
    </row>
    <row r="226" spans="1:91" ht="10.5" customHeight="1">
      <c r="A226" s="179" t="str">
        <f t="shared" si="119"/>
        <v/>
      </c>
      <c r="B226" s="213">
        <v>2.5</v>
      </c>
      <c r="C226" s="212"/>
      <c r="D226" s="212"/>
      <c r="E226" s="212"/>
      <c r="F226" s="212"/>
      <c r="G226" s="212"/>
      <c r="H226" s="242"/>
      <c r="I226" s="210"/>
      <c r="J226" s="210"/>
      <c r="K226" s="210"/>
      <c r="L226" s="210"/>
      <c r="M226" s="210"/>
      <c r="N226" s="210"/>
      <c r="O226" s="210"/>
      <c r="P226" s="210"/>
      <c r="Q226" s="210"/>
      <c r="R226" s="210"/>
      <c r="S226" s="209"/>
      <c r="T226" s="207"/>
      <c r="U226" s="209"/>
      <c r="V226" s="207"/>
      <c r="W226" s="206"/>
      <c r="X226" s="206"/>
      <c r="Y226" s="207"/>
      <c r="Z226" s="206"/>
      <c r="AA226" s="206"/>
      <c r="AB226" s="207"/>
      <c r="AC226" s="206"/>
      <c r="AD226" s="206"/>
      <c r="AE226" s="207"/>
      <c r="AF226" s="206"/>
      <c r="AG226" s="206"/>
      <c r="AH226" s="208"/>
      <c r="AI226" s="206"/>
      <c r="AJ226" s="206"/>
      <c r="AK226" s="207"/>
      <c r="AL226" s="206"/>
      <c r="AM226" s="206"/>
      <c r="AN226" s="207"/>
      <c r="AO226" s="206"/>
      <c r="AP226" s="206"/>
      <c r="AQ226" s="207"/>
      <c r="AR226" s="206"/>
      <c r="AS226" s="206"/>
      <c r="AT226" s="207"/>
      <c r="AU226" s="206"/>
      <c r="AV226" s="206"/>
      <c r="AW226" s="207"/>
      <c r="AX226" s="206"/>
      <c r="AY226" s="206"/>
      <c r="AZ226" s="207"/>
      <c r="BA226" s="206"/>
      <c r="BB226" s="207"/>
      <c r="BC226" s="206"/>
      <c r="BD226" s="206"/>
      <c r="BE226" s="207"/>
      <c r="BF226" s="206"/>
      <c r="BG226" s="206"/>
      <c r="BH226" s="207"/>
      <c r="BI226" s="206"/>
      <c r="BJ226" s="206"/>
      <c r="BK226" s="207"/>
      <c r="BL226" s="206"/>
      <c r="BM226" s="206"/>
      <c r="BN226" s="207"/>
      <c r="BO226" s="206"/>
      <c r="BP226" s="207"/>
      <c r="BQ226" s="226"/>
      <c r="BR226" s="251">
        <f t="shared" si="111"/>
        <v>68.870523415977956</v>
      </c>
      <c r="BS226" s="225">
        <f t="shared" si="131"/>
        <v>64.87889273356403</v>
      </c>
      <c r="BT226" s="219">
        <f t="shared" si="133"/>
        <v>61.224489795918366</v>
      </c>
      <c r="BU226" s="225">
        <f t="shared" si="138"/>
        <v>44.616299821534817</v>
      </c>
      <c r="BV226" s="219">
        <f t="shared" si="135"/>
        <v>38.739669421487591</v>
      </c>
      <c r="BW226" s="225">
        <f t="shared" si="139"/>
        <v>37.037037037037038</v>
      </c>
      <c r="BX226" s="219">
        <f t="shared" si="141"/>
        <v>33.952014486192844</v>
      </c>
      <c r="BY226" s="241">
        <v>30</v>
      </c>
      <c r="BZ226" s="219">
        <f t="shared" si="114"/>
        <v>27.736686390532537</v>
      </c>
      <c r="CA226" s="225">
        <f t="shared" si="115"/>
        <v>25.720164609053494</v>
      </c>
      <c r="CB226" s="219">
        <f t="shared" si="116"/>
        <v>23.084025854108951</v>
      </c>
      <c r="CC226" s="225">
        <f t="shared" si="117"/>
        <v>21.545532892846882</v>
      </c>
      <c r="CD226" s="219">
        <f t="shared" si="121"/>
        <v>17.751479289940828</v>
      </c>
      <c r="CE226" s="225">
        <f t="shared" si="122"/>
        <v>15.75299306868305</v>
      </c>
      <c r="CF226" s="219">
        <f t="shared" si="125"/>
        <v>14.467592592592592</v>
      </c>
      <c r="CG226" s="225">
        <f t="shared" si="127"/>
        <v>12.98476454293629</v>
      </c>
      <c r="CH226" s="219">
        <f t="shared" si="130"/>
        <v>10.380622837370243</v>
      </c>
      <c r="CI226" s="225">
        <f t="shared" si="134"/>
        <v>8.8610586011342178</v>
      </c>
      <c r="CJ226" s="219">
        <f t="shared" si="136"/>
        <v>7.6522803795531082</v>
      </c>
      <c r="CK226" s="202">
        <f t="shared" si="137"/>
        <v>6.9341715976331342</v>
      </c>
      <c r="CL226" s="203">
        <f t="shared" si="140"/>
        <v>5.2083333333333339</v>
      </c>
      <c r="CM226" s="250"/>
    </row>
    <row r="227" spans="1:91" ht="10.5" customHeight="1" thickBot="1">
      <c r="A227" s="179" t="str">
        <f t="shared" si="119"/>
        <v/>
      </c>
      <c r="B227" s="201">
        <v>2.5499999999999998</v>
      </c>
      <c r="C227" s="200"/>
      <c r="D227" s="200"/>
      <c r="E227" s="200"/>
      <c r="F227" s="200"/>
      <c r="G227" s="200"/>
      <c r="H227" s="249"/>
      <c r="I227" s="198"/>
      <c r="J227" s="198"/>
      <c r="K227" s="198"/>
      <c r="L227" s="198"/>
      <c r="M227" s="198"/>
      <c r="N227" s="198"/>
      <c r="O227" s="198"/>
      <c r="P227" s="198"/>
      <c r="Q227" s="198"/>
      <c r="R227" s="198"/>
      <c r="S227" s="197"/>
      <c r="T227" s="194"/>
      <c r="U227" s="197"/>
      <c r="V227" s="194"/>
      <c r="W227" s="195"/>
      <c r="X227" s="195"/>
      <c r="Y227" s="194"/>
      <c r="Z227" s="195"/>
      <c r="AA227" s="195"/>
      <c r="AB227" s="194"/>
      <c r="AC227" s="195"/>
      <c r="AD227" s="195"/>
      <c r="AE227" s="194"/>
      <c r="AF227" s="195"/>
      <c r="AG227" s="195"/>
      <c r="AH227" s="196"/>
      <c r="AI227" s="195"/>
      <c r="AJ227" s="195"/>
      <c r="AK227" s="194"/>
      <c r="AL227" s="195"/>
      <c r="AM227" s="195"/>
      <c r="AN227" s="194"/>
      <c r="AO227" s="195"/>
      <c r="AP227" s="195"/>
      <c r="AQ227" s="194"/>
      <c r="AR227" s="195"/>
      <c r="AS227" s="195"/>
      <c r="AT227" s="194"/>
      <c r="AU227" s="195"/>
      <c r="AV227" s="195"/>
      <c r="AW227" s="194"/>
      <c r="AX227" s="195"/>
      <c r="AY227" s="195"/>
      <c r="AZ227" s="194"/>
      <c r="BA227" s="195"/>
      <c r="BB227" s="194"/>
      <c r="BC227" s="195"/>
      <c r="BD227" s="195"/>
      <c r="BE227" s="194"/>
      <c r="BF227" s="195"/>
      <c r="BG227" s="195"/>
      <c r="BH227" s="194"/>
      <c r="BI227" s="195"/>
      <c r="BJ227" s="195"/>
      <c r="BK227" s="194"/>
      <c r="BL227" s="195"/>
      <c r="BM227" s="195"/>
      <c r="BN227" s="194"/>
      <c r="BO227" s="195"/>
      <c r="BP227" s="194"/>
      <c r="BQ227" s="224"/>
      <c r="BR227" s="248">
        <f t="shared" si="111"/>
        <v>71.652892561983464</v>
      </c>
      <c r="BS227" s="223">
        <f t="shared" si="131"/>
        <v>67.5</v>
      </c>
      <c r="BT227" s="217">
        <f t="shared" si="133"/>
        <v>63.697959183673461</v>
      </c>
      <c r="BU227" s="223">
        <f t="shared" si="138"/>
        <v>46.418798334324805</v>
      </c>
      <c r="BV227" s="217">
        <f t="shared" si="135"/>
        <v>40.304752066115697</v>
      </c>
      <c r="BW227" s="223">
        <f t="shared" si="139"/>
        <v>38.533333333333331</v>
      </c>
      <c r="BX227" s="217">
        <f t="shared" si="141"/>
        <v>35.323675871435029</v>
      </c>
      <c r="BY227" s="223">
        <f t="shared" ref="BY227:BY253" si="142" xml:space="preserve"> 30*(B227/B$226)^2</f>
        <v>31.212</v>
      </c>
      <c r="BZ227" s="217">
        <f t="shared" si="114"/>
        <v>28.857248520710051</v>
      </c>
      <c r="CA227" s="223">
        <f t="shared" si="115"/>
        <v>26.759259259259252</v>
      </c>
      <c r="CB227" s="217">
        <f t="shared" si="116"/>
        <v>24.016620498614952</v>
      </c>
      <c r="CC227" s="223">
        <f t="shared" si="117"/>
        <v>22.415972421717893</v>
      </c>
      <c r="CD227" s="217">
        <f t="shared" si="121"/>
        <v>18.468639053254439</v>
      </c>
      <c r="CE227" s="223">
        <f t="shared" si="122"/>
        <v>16.389413988657843</v>
      </c>
      <c r="CF227" s="217">
        <f t="shared" si="125"/>
        <v>15.052083333333332</v>
      </c>
      <c r="CG227" s="223">
        <f t="shared" si="127"/>
        <v>13.509349030470913</v>
      </c>
      <c r="CH227" s="217">
        <f t="shared" si="130"/>
        <v>10.799999999999999</v>
      </c>
      <c r="CI227" s="223">
        <f t="shared" si="134"/>
        <v>9.2190453686200371</v>
      </c>
      <c r="CJ227" s="217">
        <f t="shared" si="136"/>
        <v>7.9614325068870526</v>
      </c>
      <c r="CK227" s="191">
        <f t="shared" si="137"/>
        <v>7.2143121301775128</v>
      </c>
      <c r="CL227" s="192">
        <f t="shared" si="140"/>
        <v>5.4187499999999993</v>
      </c>
      <c r="CM227" s="247"/>
    </row>
    <row r="228" spans="1:91" ht="10.5" customHeight="1">
      <c r="A228" s="179" t="str">
        <f t="shared" si="119"/>
        <v/>
      </c>
      <c r="B228" s="190">
        <v>2.6</v>
      </c>
      <c r="C228" s="189"/>
      <c r="D228" s="189"/>
      <c r="E228" s="189"/>
      <c r="F228" s="189"/>
      <c r="G228" s="189"/>
      <c r="H228" s="245"/>
      <c r="I228" s="187"/>
      <c r="J228" s="187"/>
      <c r="K228" s="187"/>
      <c r="L228" s="187"/>
      <c r="M228" s="187"/>
      <c r="N228" s="187"/>
      <c r="O228" s="187"/>
      <c r="P228" s="187"/>
      <c r="Q228" s="187"/>
      <c r="R228" s="187"/>
      <c r="S228" s="186"/>
      <c r="T228" s="183"/>
      <c r="U228" s="186"/>
      <c r="V228" s="183"/>
      <c r="W228" s="184"/>
      <c r="X228" s="184"/>
      <c r="Y228" s="183"/>
      <c r="Z228" s="184"/>
      <c r="AA228" s="184"/>
      <c r="AB228" s="183"/>
      <c r="AC228" s="184"/>
      <c r="AD228" s="184"/>
      <c r="AE228" s="183"/>
      <c r="AF228" s="184"/>
      <c r="AG228" s="184"/>
      <c r="AH228" s="185"/>
      <c r="AI228" s="184"/>
      <c r="AJ228" s="184"/>
      <c r="AK228" s="183"/>
      <c r="AL228" s="184"/>
      <c r="AM228" s="184"/>
      <c r="AN228" s="183"/>
      <c r="AO228" s="184"/>
      <c r="AP228" s="184"/>
      <c r="AQ228" s="183"/>
      <c r="AR228" s="184"/>
      <c r="AS228" s="184"/>
      <c r="AT228" s="183"/>
      <c r="AU228" s="184"/>
      <c r="AV228" s="184"/>
      <c r="AW228" s="183"/>
      <c r="AX228" s="184"/>
      <c r="AY228" s="184"/>
      <c r="AZ228" s="183"/>
      <c r="BA228" s="184"/>
      <c r="BB228" s="183"/>
      <c r="BC228" s="184"/>
      <c r="BD228" s="184"/>
      <c r="BE228" s="183"/>
      <c r="BF228" s="184"/>
      <c r="BG228" s="184"/>
      <c r="BH228" s="183"/>
      <c r="BI228" s="184"/>
      <c r="BJ228" s="184"/>
      <c r="BK228" s="183"/>
      <c r="BL228" s="184"/>
      <c r="BM228" s="184"/>
      <c r="BN228" s="183"/>
      <c r="BO228" s="184"/>
      <c r="BP228" s="183"/>
      <c r="BQ228" s="182"/>
      <c r="BR228" s="246"/>
      <c r="BS228" s="221">
        <f t="shared" si="131"/>
        <v>70.173010380622841</v>
      </c>
      <c r="BT228" s="214">
        <f t="shared" si="133"/>
        <v>66.220408163265319</v>
      </c>
      <c r="BU228" s="221">
        <f t="shared" si="138"/>
        <v>48.256989886972057</v>
      </c>
      <c r="BV228" s="214">
        <f t="shared" si="135"/>
        <v>41.900826446280981</v>
      </c>
      <c r="BW228" s="221">
        <f t="shared" si="139"/>
        <v>40.059259259259264</v>
      </c>
      <c r="BX228" s="214">
        <f t="shared" si="141"/>
        <v>36.722498868266186</v>
      </c>
      <c r="BY228" s="221">
        <f t="shared" si="142"/>
        <v>32.448</v>
      </c>
      <c r="BZ228" s="237">
        <v>30</v>
      </c>
      <c r="CA228" s="221">
        <f t="shared" si="115"/>
        <v>27.81893004115226</v>
      </c>
      <c r="CB228" s="214">
        <f t="shared" si="116"/>
        <v>24.967682363804247</v>
      </c>
      <c r="CC228" s="221">
        <f t="shared" si="117"/>
        <v>23.30364837690319</v>
      </c>
      <c r="CD228" s="214">
        <f t="shared" si="121"/>
        <v>19.200000000000003</v>
      </c>
      <c r="CE228" s="221">
        <f t="shared" si="122"/>
        <v>17.038437303087587</v>
      </c>
      <c r="CF228" s="214">
        <f t="shared" si="125"/>
        <v>15.648148148148147</v>
      </c>
      <c r="CG228" s="221">
        <f t="shared" si="127"/>
        <v>14.044321329639891</v>
      </c>
      <c r="CH228" s="214">
        <f t="shared" si="130"/>
        <v>11.227681660899655</v>
      </c>
      <c r="CI228" s="221">
        <f t="shared" si="134"/>
        <v>9.5841209829867697</v>
      </c>
      <c r="CJ228" s="214">
        <f t="shared" si="136"/>
        <v>8.276706458524643</v>
      </c>
      <c r="CK228" s="180">
        <f t="shared" si="137"/>
        <v>7.5</v>
      </c>
      <c r="CL228" s="181">
        <f t="shared" si="140"/>
        <v>5.6333333333333337</v>
      </c>
      <c r="CM228" s="243"/>
    </row>
    <row r="229" spans="1:91" ht="10.5" customHeight="1" thickBot="1">
      <c r="A229" s="179" t="str">
        <f t="shared" si="119"/>
        <v/>
      </c>
      <c r="B229" s="190">
        <v>2.65</v>
      </c>
      <c r="C229" s="189"/>
      <c r="D229" s="189"/>
      <c r="E229" s="189"/>
      <c r="F229" s="189"/>
      <c r="G229" s="189"/>
      <c r="H229" s="245"/>
      <c r="I229" s="187"/>
      <c r="J229" s="187"/>
      <c r="K229" s="187"/>
      <c r="L229" s="187"/>
      <c r="M229" s="187"/>
      <c r="N229" s="187"/>
      <c r="O229" s="187"/>
      <c r="P229" s="187"/>
      <c r="Q229" s="187"/>
      <c r="R229" s="187"/>
      <c r="S229" s="186"/>
      <c r="T229" s="183"/>
      <c r="U229" s="186"/>
      <c r="V229" s="183"/>
      <c r="W229" s="184"/>
      <c r="X229" s="184"/>
      <c r="Y229" s="183"/>
      <c r="Z229" s="184"/>
      <c r="AA229" s="184"/>
      <c r="AB229" s="183"/>
      <c r="AC229" s="184"/>
      <c r="AD229" s="184"/>
      <c r="AE229" s="183"/>
      <c r="AF229" s="184"/>
      <c r="AG229" s="184"/>
      <c r="AH229" s="185"/>
      <c r="AI229" s="184"/>
      <c r="AJ229" s="184"/>
      <c r="AK229" s="183"/>
      <c r="AL229" s="184"/>
      <c r="AM229" s="184"/>
      <c r="AN229" s="183"/>
      <c r="AO229" s="184"/>
      <c r="AP229" s="184"/>
      <c r="AQ229" s="183"/>
      <c r="AR229" s="184"/>
      <c r="AS229" s="184"/>
      <c r="AT229" s="183"/>
      <c r="AU229" s="184"/>
      <c r="AV229" s="184"/>
      <c r="AW229" s="183"/>
      <c r="AX229" s="184"/>
      <c r="AY229" s="184"/>
      <c r="AZ229" s="183"/>
      <c r="BA229" s="184"/>
      <c r="BB229" s="183"/>
      <c r="BC229" s="184"/>
      <c r="BD229" s="184"/>
      <c r="BE229" s="183"/>
      <c r="BF229" s="184"/>
      <c r="BG229" s="184"/>
      <c r="BH229" s="183"/>
      <c r="BI229" s="184"/>
      <c r="BJ229" s="184"/>
      <c r="BK229" s="183"/>
      <c r="BL229" s="184"/>
      <c r="BM229" s="184"/>
      <c r="BN229" s="183"/>
      <c r="BO229" s="184"/>
      <c r="BP229" s="183"/>
      <c r="BQ229" s="182"/>
      <c r="BR229" s="244"/>
      <c r="BS229" s="220">
        <f t="shared" si="131"/>
        <v>72.897923875432525</v>
      </c>
      <c r="BT229" s="214">
        <f t="shared" si="133"/>
        <v>68.791836734693874</v>
      </c>
      <c r="BU229" s="221">
        <f t="shared" si="138"/>
        <v>50.130874479476503</v>
      </c>
      <c r="BV229" s="214">
        <f t="shared" si="135"/>
        <v>43.527892561983457</v>
      </c>
      <c r="BW229" s="221">
        <f t="shared" si="139"/>
        <v>41.614814814814821</v>
      </c>
      <c r="BX229" s="214">
        <f t="shared" si="141"/>
        <v>38.14848347668628</v>
      </c>
      <c r="BY229" s="221">
        <f t="shared" si="142"/>
        <v>33.708000000000006</v>
      </c>
      <c r="BZ229" s="214">
        <f t="shared" ref="BZ229:BZ256" si="143" xml:space="preserve"> 30*(B229/B$228)^2</f>
        <v>31.164940828402365</v>
      </c>
      <c r="CA229" s="221">
        <f t="shared" si="115"/>
        <v>28.899176954732503</v>
      </c>
      <c r="CB229" s="214">
        <f t="shared" si="116"/>
        <v>25.93721144967682</v>
      </c>
      <c r="CC229" s="221">
        <f t="shared" si="117"/>
        <v>24.208560758402754</v>
      </c>
      <c r="CD229" s="214">
        <f t="shared" si="121"/>
        <v>19.945562130177514</v>
      </c>
      <c r="CE229" s="221">
        <f t="shared" si="122"/>
        <v>17.700063011972272</v>
      </c>
      <c r="CF229" s="214">
        <f t="shared" si="125"/>
        <v>16.255787037037035</v>
      </c>
      <c r="CG229" s="221">
        <f t="shared" si="127"/>
        <v>14.589681440443215</v>
      </c>
      <c r="CH229" s="214">
        <f t="shared" si="130"/>
        <v>11.663667820069204</v>
      </c>
      <c r="CI229" s="221">
        <f t="shared" si="134"/>
        <v>9.9562854442344051</v>
      </c>
      <c r="CJ229" s="214">
        <f t="shared" si="136"/>
        <v>8.5981022344658697</v>
      </c>
      <c r="CK229" s="180">
        <f t="shared" si="137"/>
        <v>7.7912352071005913</v>
      </c>
      <c r="CL229" s="181">
        <f t="shared" si="140"/>
        <v>5.8520833333333329</v>
      </c>
      <c r="CM229" s="243"/>
    </row>
    <row r="230" spans="1:91" ht="10.5" customHeight="1" thickBot="1">
      <c r="A230" s="179" t="str">
        <f t="shared" si="119"/>
        <v/>
      </c>
      <c r="B230" s="213">
        <v>2.7</v>
      </c>
      <c r="C230" s="212"/>
      <c r="D230" s="212"/>
      <c r="E230" s="212"/>
      <c r="F230" s="212"/>
      <c r="G230" s="212"/>
      <c r="H230" s="242"/>
      <c r="I230" s="210"/>
      <c r="J230" s="210"/>
      <c r="K230" s="210"/>
      <c r="L230" s="210"/>
      <c r="M230" s="210"/>
      <c r="N230" s="210"/>
      <c r="O230" s="210"/>
      <c r="P230" s="210"/>
      <c r="Q230" s="210"/>
      <c r="R230" s="210"/>
      <c r="S230" s="209"/>
      <c r="T230" s="207"/>
      <c r="U230" s="209"/>
      <c r="V230" s="207"/>
      <c r="W230" s="206"/>
      <c r="X230" s="206"/>
      <c r="Y230" s="207"/>
      <c r="Z230" s="206"/>
      <c r="AA230" s="206"/>
      <c r="AB230" s="207"/>
      <c r="AC230" s="206"/>
      <c r="AD230" s="206"/>
      <c r="AE230" s="207"/>
      <c r="AF230" s="206"/>
      <c r="AG230" s="206"/>
      <c r="AH230" s="208"/>
      <c r="AI230" s="206"/>
      <c r="AJ230" s="206"/>
      <c r="AK230" s="207"/>
      <c r="AL230" s="206"/>
      <c r="AM230" s="206"/>
      <c r="AN230" s="207"/>
      <c r="AO230" s="206"/>
      <c r="AP230" s="206"/>
      <c r="AQ230" s="207"/>
      <c r="AR230" s="206"/>
      <c r="AS230" s="206"/>
      <c r="AT230" s="207"/>
      <c r="AU230" s="206"/>
      <c r="AV230" s="206"/>
      <c r="AW230" s="207"/>
      <c r="AX230" s="206"/>
      <c r="AY230" s="206"/>
      <c r="AZ230" s="207"/>
      <c r="BA230" s="206"/>
      <c r="BB230" s="207"/>
      <c r="BC230" s="206"/>
      <c r="BD230" s="206"/>
      <c r="BE230" s="207"/>
      <c r="BF230" s="206"/>
      <c r="BG230" s="206"/>
      <c r="BH230" s="207"/>
      <c r="BI230" s="206"/>
      <c r="BJ230" s="206"/>
      <c r="BK230" s="207"/>
      <c r="BL230" s="206"/>
      <c r="BM230" s="206"/>
      <c r="BN230" s="207"/>
      <c r="BO230" s="206"/>
      <c r="BP230" s="207"/>
      <c r="BQ230" s="206"/>
      <c r="BR230" s="182"/>
      <c r="BS230" s="216"/>
      <c r="BT230" s="204">
        <f t="shared" si="133"/>
        <v>71.412244897959184</v>
      </c>
      <c r="BU230" s="225">
        <f t="shared" si="138"/>
        <v>52.040452111838214</v>
      </c>
      <c r="BV230" s="219">
        <f t="shared" si="135"/>
        <v>45.185950413223139</v>
      </c>
      <c r="BW230" s="225">
        <f t="shared" si="139"/>
        <v>43.20000000000001</v>
      </c>
      <c r="BX230" s="219">
        <f t="shared" si="141"/>
        <v>39.60162969669534</v>
      </c>
      <c r="BY230" s="225">
        <f t="shared" si="142"/>
        <v>34.992000000000004</v>
      </c>
      <c r="BZ230" s="219">
        <f t="shared" si="143"/>
        <v>32.352071005917168</v>
      </c>
      <c r="CA230" s="241">
        <v>30</v>
      </c>
      <c r="CB230" s="219">
        <f t="shared" si="116"/>
        <v>26.925207756232691</v>
      </c>
      <c r="CC230" s="225">
        <f t="shared" si="117"/>
        <v>25.130709566216602</v>
      </c>
      <c r="CD230" s="219">
        <f t="shared" si="121"/>
        <v>20.705325443786982</v>
      </c>
      <c r="CE230" s="225">
        <f t="shared" si="122"/>
        <v>18.374291115311912</v>
      </c>
      <c r="CF230" s="219">
        <f t="shared" si="125"/>
        <v>16.875</v>
      </c>
      <c r="CG230" s="225">
        <f t="shared" si="127"/>
        <v>15.14542936288089</v>
      </c>
      <c r="CH230" s="219">
        <f t="shared" si="130"/>
        <v>12.107958477508653</v>
      </c>
      <c r="CI230" s="225">
        <f t="shared" si="134"/>
        <v>10.33553875236295</v>
      </c>
      <c r="CJ230" s="219">
        <f t="shared" si="136"/>
        <v>8.925619834710746</v>
      </c>
      <c r="CK230" s="202">
        <f t="shared" si="137"/>
        <v>8.0880177514792919</v>
      </c>
      <c r="CL230" s="203">
        <f t="shared" si="140"/>
        <v>6.0750000000000002</v>
      </c>
      <c r="CM230" s="240">
        <f t="shared" ref="CM230:CM261" si="144" xml:space="preserve"> 30*(B230/B$295)^2</f>
        <v>4.5935727788279923</v>
      </c>
    </row>
    <row r="231" spans="1:91" ht="10.5" customHeight="1">
      <c r="A231" s="179" t="str">
        <f t="shared" si="119"/>
        <v/>
      </c>
      <c r="B231" s="201">
        <v>2.75</v>
      </c>
      <c r="C231" s="200"/>
      <c r="D231" s="200"/>
      <c r="E231" s="200"/>
      <c r="F231" s="200"/>
      <c r="G231" s="200"/>
      <c r="H231" s="199"/>
      <c r="I231" s="198"/>
      <c r="J231" s="198"/>
      <c r="K231" s="198"/>
      <c r="L231" s="198"/>
      <c r="M231" s="198"/>
      <c r="N231" s="198"/>
      <c r="O231" s="198"/>
      <c r="P231" s="198"/>
      <c r="Q231" s="198"/>
      <c r="R231" s="198"/>
      <c r="S231" s="197"/>
      <c r="T231" s="194"/>
      <c r="U231" s="197"/>
      <c r="V231" s="194"/>
      <c r="W231" s="195"/>
      <c r="X231" s="195"/>
      <c r="Y231" s="194"/>
      <c r="Z231" s="195"/>
      <c r="AA231" s="195"/>
      <c r="AB231" s="194"/>
      <c r="AC231" s="195"/>
      <c r="AD231" s="195"/>
      <c r="AE231" s="194"/>
      <c r="AF231" s="195"/>
      <c r="AG231" s="195"/>
      <c r="AH231" s="196"/>
      <c r="AI231" s="195"/>
      <c r="AJ231" s="195"/>
      <c r="AK231" s="194"/>
      <c r="AL231" s="195"/>
      <c r="AM231" s="195"/>
      <c r="AN231" s="194"/>
      <c r="AO231" s="195"/>
      <c r="AP231" s="195"/>
      <c r="AQ231" s="194"/>
      <c r="AR231" s="195"/>
      <c r="AS231" s="195"/>
      <c r="AT231" s="194"/>
      <c r="AU231" s="195"/>
      <c r="AV231" s="195"/>
      <c r="AW231" s="194"/>
      <c r="AX231" s="195"/>
      <c r="AY231" s="195"/>
      <c r="AZ231" s="194"/>
      <c r="BA231" s="195"/>
      <c r="BB231" s="194"/>
      <c r="BC231" s="195"/>
      <c r="BD231" s="195"/>
      <c r="BE231" s="194"/>
      <c r="BF231" s="195"/>
      <c r="BG231" s="195"/>
      <c r="BH231" s="194"/>
      <c r="BI231" s="195"/>
      <c r="BJ231" s="195"/>
      <c r="BK231" s="194"/>
      <c r="BL231" s="195"/>
      <c r="BM231" s="195"/>
      <c r="BN231" s="194"/>
      <c r="BO231" s="195"/>
      <c r="BP231" s="194"/>
      <c r="BQ231" s="195"/>
      <c r="BR231" s="195"/>
      <c r="BS231" s="194"/>
      <c r="BT231" s="193"/>
      <c r="BU231" s="223">
        <f t="shared" si="138"/>
        <v>53.985722784057117</v>
      </c>
      <c r="BV231" s="217">
        <f t="shared" si="135"/>
        <v>46.875</v>
      </c>
      <c r="BW231" s="223">
        <f t="shared" si="139"/>
        <v>44.814814814814824</v>
      </c>
      <c r="BX231" s="217">
        <f t="shared" si="141"/>
        <v>41.081937528293345</v>
      </c>
      <c r="BY231" s="223">
        <f t="shared" si="142"/>
        <v>36.300000000000004</v>
      </c>
      <c r="BZ231" s="217">
        <f t="shared" si="143"/>
        <v>33.56139053254438</v>
      </c>
      <c r="CA231" s="223">
        <f t="shared" ref="CA231:CA259" si="145" xml:space="preserve"> 30*(B231/B$230)^2</f>
        <v>31.121399176954728</v>
      </c>
      <c r="CB231" s="217">
        <f t="shared" si="116"/>
        <v>27.931671283471836</v>
      </c>
      <c r="CC231" s="223">
        <f t="shared" si="117"/>
        <v>26.070094800344727</v>
      </c>
      <c r="CD231" s="217">
        <f t="shared" si="121"/>
        <v>21.479289940828401</v>
      </c>
      <c r="CE231" s="223">
        <f t="shared" si="122"/>
        <v>19.06112161310649</v>
      </c>
      <c r="CF231" s="217">
        <f t="shared" si="125"/>
        <v>17.505787037037035</v>
      </c>
      <c r="CG231" s="223">
        <f t="shared" si="127"/>
        <v>15.71156509695291</v>
      </c>
      <c r="CH231" s="217">
        <f t="shared" si="130"/>
        <v>12.560553633217994</v>
      </c>
      <c r="CI231" s="223">
        <f t="shared" si="134"/>
        <v>10.721880907372404</v>
      </c>
      <c r="CJ231" s="217">
        <f t="shared" si="136"/>
        <v>9.2592592592592595</v>
      </c>
      <c r="CK231" s="191">
        <f t="shared" si="137"/>
        <v>8.3903476331360949</v>
      </c>
      <c r="CL231" s="192">
        <f t="shared" si="140"/>
        <v>6.3020833333333321</v>
      </c>
      <c r="CM231" s="191">
        <f t="shared" si="144"/>
        <v>4.7652804032766367</v>
      </c>
    </row>
    <row r="232" spans="1:91" ht="10.5" customHeight="1">
      <c r="A232" s="179" t="str">
        <f t="shared" si="119"/>
        <v/>
      </c>
      <c r="B232" s="190">
        <v>2.8</v>
      </c>
      <c r="C232" s="189"/>
      <c r="D232" s="189"/>
      <c r="E232" s="189"/>
      <c r="F232" s="189"/>
      <c r="G232" s="189"/>
      <c r="H232" s="188"/>
      <c r="I232" s="187"/>
      <c r="J232" s="187"/>
      <c r="K232" s="187"/>
      <c r="L232" s="187"/>
      <c r="M232" s="187"/>
      <c r="N232" s="187"/>
      <c r="O232" s="187"/>
      <c r="P232" s="187"/>
      <c r="Q232" s="187"/>
      <c r="R232" s="187"/>
      <c r="S232" s="186"/>
      <c r="T232" s="183"/>
      <c r="U232" s="186"/>
      <c r="V232" s="183"/>
      <c r="W232" s="184"/>
      <c r="X232" s="184"/>
      <c r="Y232" s="183"/>
      <c r="Z232" s="184"/>
      <c r="AA232" s="184"/>
      <c r="AB232" s="183"/>
      <c r="AC232" s="184"/>
      <c r="AD232" s="184"/>
      <c r="AE232" s="183"/>
      <c r="AF232" s="184"/>
      <c r="AG232" s="184"/>
      <c r="AH232" s="185"/>
      <c r="AI232" s="184"/>
      <c r="AJ232" s="184"/>
      <c r="AK232" s="183"/>
      <c r="AL232" s="184"/>
      <c r="AM232" s="184"/>
      <c r="AN232" s="183"/>
      <c r="AO232" s="184"/>
      <c r="AP232" s="184"/>
      <c r="AQ232" s="183"/>
      <c r="AR232" s="184"/>
      <c r="AS232" s="184"/>
      <c r="AT232" s="183"/>
      <c r="AU232" s="184"/>
      <c r="AV232" s="184"/>
      <c r="AW232" s="183"/>
      <c r="AX232" s="184"/>
      <c r="AY232" s="184"/>
      <c r="AZ232" s="183"/>
      <c r="BA232" s="184"/>
      <c r="BB232" s="183"/>
      <c r="BC232" s="184"/>
      <c r="BD232" s="184"/>
      <c r="BE232" s="183"/>
      <c r="BF232" s="184"/>
      <c r="BG232" s="184"/>
      <c r="BH232" s="183"/>
      <c r="BI232" s="184"/>
      <c r="BJ232" s="184"/>
      <c r="BK232" s="183"/>
      <c r="BL232" s="184"/>
      <c r="BM232" s="184"/>
      <c r="BN232" s="183"/>
      <c r="BO232" s="184"/>
      <c r="BP232" s="183"/>
      <c r="BQ232" s="184"/>
      <c r="BR232" s="184"/>
      <c r="BS232" s="183"/>
      <c r="BT232" s="232"/>
      <c r="BU232" s="221">
        <f t="shared" si="138"/>
        <v>55.966686496133264</v>
      </c>
      <c r="BV232" s="214">
        <f t="shared" si="135"/>
        <v>48.595041322314032</v>
      </c>
      <c r="BW232" s="221">
        <f t="shared" si="139"/>
        <v>46.459259259259262</v>
      </c>
      <c r="BX232" s="214">
        <f t="shared" si="141"/>
        <v>42.589406971480301</v>
      </c>
      <c r="BY232" s="221">
        <f t="shared" si="142"/>
        <v>37.631999999999991</v>
      </c>
      <c r="BZ232" s="214">
        <f t="shared" si="143"/>
        <v>34.792899408284022</v>
      </c>
      <c r="CA232" s="221">
        <f t="shared" si="145"/>
        <v>32.2633744855967</v>
      </c>
      <c r="CB232" s="214">
        <f t="shared" si="116"/>
        <v>28.956602031394272</v>
      </c>
      <c r="CC232" s="221">
        <f t="shared" si="117"/>
        <v>27.026716460787124</v>
      </c>
      <c r="CD232" s="214">
        <f t="shared" si="121"/>
        <v>22.267455621301771</v>
      </c>
      <c r="CE232" s="221">
        <f t="shared" si="122"/>
        <v>19.760554505356012</v>
      </c>
      <c r="CF232" s="214">
        <f t="shared" si="125"/>
        <v>18.148148148148142</v>
      </c>
      <c r="CG232" s="221">
        <f t="shared" si="127"/>
        <v>16.288088642659279</v>
      </c>
      <c r="CH232" s="214">
        <f t="shared" si="130"/>
        <v>13.021453287197232</v>
      </c>
      <c r="CI232" s="221">
        <f t="shared" si="134"/>
        <v>11.115311909262761</v>
      </c>
      <c r="CJ232" s="214">
        <f t="shared" si="136"/>
        <v>9.5990205081114155</v>
      </c>
      <c r="CK232" s="180">
        <f t="shared" si="137"/>
        <v>8.6982248520710055</v>
      </c>
      <c r="CL232" s="181">
        <f t="shared" si="140"/>
        <v>6.5333333333333323</v>
      </c>
      <c r="CM232" s="180">
        <f t="shared" si="144"/>
        <v>4.9401386263390181</v>
      </c>
    </row>
    <row r="233" spans="1:91" ht="10.5" customHeight="1">
      <c r="A233" s="179" t="str">
        <f t="shared" si="119"/>
        <v/>
      </c>
      <c r="B233" s="190">
        <v>2.85</v>
      </c>
      <c r="C233" s="189"/>
      <c r="D233" s="189"/>
      <c r="E233" s="189"/>
      <c r="F233" s="189"/>
      <c r="G233" s="189"/>
      <c r="H233" s="188"/>
      <c r="I233" s="187"/>
      <c r="J233" s="187"/>
      <c r="K233" s="187"/>
      <c r="L233" s="187"/>
      <c r="M233" s="187"/>
      <c r="N233" s="187"/>
      <c r="O233" s="187"/>
      <c r="P233" s="187"/>
      <c r="Q233" s="187"/>
      <c r="R233" s="187"/>
      <c r="S233" s="186"/>
      <c r="T233" s="183"/>
      <c r="U233" s="186"/>
      <c r="V233" s="183"/>
      <c r="W233" s="184"/>
      <c r="X233" s="184"/>
      <c r="Y233" s="183"/>
      <c r="Z233" s="184"/>
      <c r="AA233" s="184"/>
      <c r="AB233" s="183"/>
      <c r="AC233" s="184"/>
      <c r="AD233" s="184"/>
      <c r="AE233" s="183"/>
      <c r="AF233" s="184"/>
      <c r="AG233" s="184"/>
      <c r="AH233" s="185"/>
      <c r="AI233" s="184"/>
      <c r="AJ233" s="184"/>
      <c r="AK233" s="183"/>
      <c r="AL233" s="184"/>
      <c r="AM233" s="184"/>
      <c r="AN233" s="183"/>
      <c r="AO233" s="184"/>
      <c r="AP233" s="184"/>
      <c r="AQ233" s="183"/>
      <c r="AR233" s="184"/>
      <c r="AS233" s="184"/>
      <c r="AT233" s="183"/>
      <c r="AU233" s="184"/>
      <c r="AV233" s="184"/>
      <c r="AW233" s="183"/>
      <c r="AX233" s="184"/>
      <c r="AY233" s="184"/>
      <c r="AZ233" s="183"/>
      <c r="BA233" s="184"/>
      <c r="BB233" s="183"/>
      <c r="BC233" s="184"/>
      <c r="BD233" s="184"/>
      <c r="BE233" s="183"/>
      <c r="BF233" s="184"/>
      <c r="BG233" s="184"/>
      <c r="BH233" s="183"/>
      <c r="BI233" s="184"/>
      <c r="BJ233" s="184"/>
      <c r="BK233" s="183"/>
      <c r="BL233" s="184"/>
      <c r="BM233" s="184"/>
      <c r="BN233" s="183"/>
      <c r="BO233" s="184"/>
      <c r="BP233" s="183"/>
      <c r="BQ233" s="184"/>
      <c r="BR233" s="184"/>
      <c r="BS233" s="183"/>
      <c r="BT233" s="232"/>
      <c r="BU233" s="221">
        <f t="shared" si="138"/>
        <v>57.983343248066639</v>
      </c>
      <c r="BV233" s="214">
        <f t="shared" si="135"/>
        <v>50.346074380165284</v>
      </c>
      <c r="BW233" s="221">
        <f t="shared" si="139"/>
        <v>48.133333333333333</v>
      </c>
      <c r="BX233" s="214">
        <f t="shared" si="141"/>
        <v>44.124038026256237</v>
      </c>
      <c r="BY233" s="221">
        <f t="shared" si="142"/>
        <v>38.988000000000007</v>
      </c>
      <c r="BZ233" s="214">
        <f t="shared" si="143"/>
        <v>36.046597633136102</v>
      </c>
      <c r="CA233" s="221">
        <f t="shared" si="145"/>
        <v>33.425925925925931</v>
      </c>
      <c r="CB233" s="237">
        <v>30</v>
      </c>
      <c r="CC233" s="221">
        <f t="shared" si="117"/>
        <v>28.00057454754381</v>
      </c>
      <c r="CD233" s="214">
        <f t="shared" si="121"/>
        <v>23.069822485207098</v>
      </c>
      <c r="CE233" s="221">
        <f t="shared" si="122"/>
        <v>20.472589792060489</v>
      </c>
      <c r="CF233" s="214">
        <f t="shared" si="125"/>
        <v>18.802083333333332</v>
      </c>
      <c r="CG233" s="221">
        <f t="shared" si="127"/>
        <v>16.875000000000007</v>
      </c>
      <c r="CH233" s="214">
        <f t="shared" si="130"/>
        <v>13.49065743944637</v>
      </c>
      <c r="CI233" s="221">
        <f t="shared" si="134"/>
        <v>11.515831758034031</v>
      </c>
      <c r="CJ233" s="214">
        <f t="shared" si="136"/>
        <v>9.9449035812672193</v>
      </c>
      <c r="CK233" s="180">
        <f t="shared" si="137"/>
        <v>9.0116494082840255</v>
      </c>
      <c r="CL233" s="181">
        <f t="shared" si="140"/>
        <v>6.7687500000000007</v>
      </c>
      <c r="CM233" s="180">
        <f t="shared" si="144"/>
        <v>5.1181474480151383</v>
      </c>
    </row>
    <row r="234" spans="1:91" ht="10.5" customHeight="1">
      <c r="A234" s="179" t="str">
        <f t="shared" si="119"/>
        <v/>
      </c>
      <c r="B234" s="213">
        <v>2.9</v>
      </c>
      <c r="C234" s="212"/>
      <c r="D234" s="212"/>
      <c r="E234" s="212"/>
      <c r="F234" s="212"/>
      <c r="G234" s="212"/>
      <c r="H234" s="211"/>
      <c r="I234" s="210"/>
      <c r="J234" s="210"/>
      <c r="K234" s="210"/>
      <c r="L234" s="210"/>
      <c r="M234" s="210"/>
      <c r="N234" s="210"/>
      <c r="O234" s="210"/>
      <c r="P234" s="210"/>
      <c r="Q234" s="210"/>
      <c r="R234" s="210"/>
      <c r="S234" s="209"/>
      <c r="T234" s="207"/>
      <c r="U234" s="209"/>
      <c r="V234" s="207"/>
      <c r="W234" s="206"/>
      <c r="X234" s="206"/>
      <c r="Y234" s="207"/>
      <c r="Z234" s="206"/>
      <c r="AA234" s="206"/>
      <c r="AB234" s="207"/>
      <c r="AC234" s="206"/>
      <c r="AD234" s="206"/>
      <c r="AE234" s="207"/>
      <c r="AF234" s="206"/>
      <c r="AG234" s="206"/>
      <c r="AH234" s="208"/>
      <c r="AI234" s="206"/>
      <c r="AJ234" s="206"/>
      <c r="AK234" s="207"/>
      <c r="AL234" s="206"/>
      <c r="AM234" s="206"/>
      <c r="AN234" s="207"/>
      <c r="AO234" s="206"/>
      <c r="AP234" s="206"/>
      <c r="AQ234" s="207"/>
      <c r="AR234" s="206"/>
      <c r="AS234" s="206"/>
      <c r="AT234" s="207"/>
      <c r="AU234" s="206"/>
      <c r="AV234" s="206"/>
      <c r="AW234" s="207"/>
      <c r="AX234" s="206"/>
      <c r="AY234" s="206"/>
      <c r="AZ234" s="207"/>
      <c r="BA234" s="206"/>
      <c r="BB234" s="207"/>
      <c r="BC234" s="206"/>
      <c r="BD234" s="206"/>
      <c r="BE234" s="207"/>
      <c r="BF234" s="206"/>
      <c r="BG234" s="206"/>
      <c r="BH234" s="207"/>
      <c r="BI234" s="206"/>
      <c r="BJ234" s="206"/>
      <c r="BK234" s="207"/>
      <c r="BL234" s="206"/>
      <c r="BM234" s="206"/>
      <c r="BN234" s="207"/>
      <c r="BO234" s="206"/>
      <c r="BP234" s="207"/>
      <c r="BQ234" s="206"/>
      <c r="BR234" s="206"/>
      <c r="BS234" s="207"/>
      <c r="BT234" s="239"/>
      <c r="BU234" s="225">
        <f t="shared" si="138"/>
        <v>60.035693039857236</v>
      </c>
      <c r="BV234" s="219">
        <f t="shared" si="135"/>
        <v>52.128099173553714</v>
      </c>
      <c r="BW234" s="225">
        <f t="shared" si="139"/>
        <v>49.837037037037021</v>
      </c>
      <c r="BX234" s="219">
        <f t="shared" si="141"/>
        <v>45.685830692621096</v>
      </c>
      <c r="BY234" s="225">
        <f t="shared" si="142"/>
        <v>40.367999999999995</v>
      </c>
      <c r="BZ234" s="219">
        <f t="shared" si="143"/>
        <v>37.322485207100591</v>
      </c>
      <c r="CA234" s="225">
        <f t="shared" si="145"/>
        <v>34.609053497942384</v>
      </c>
      <c r="CB234" s="219">
        <f t="shared" ref="CB234:CB263" si="146" xml:space="preserve"> 30*(B234/B$233)^2</f>
        <v>31.061865189289001</v>
      </c>
      <c r="CC234" s="225">
        <f t="shared" si="117"/>
        <v>28.991669060614761</v>
      </c>
      <c r="CD234" s="219">
        <f t="shared" si="121"/>
        <v>23.886390532544375</v>
      </c>
      <c r="CE234" s="225">
        <f t="shared" si="122"/>
        <v>21.197227473219911</v>
      </c>
      <c r="CF234" s="219">
        <f t="shared" si="125"/>
        <v>19.467592592592588</v>
      </c>
      <c r="CG234" s="225">
        <f t="shared" si="127"/>
        <v>17.47229916897507</v>
      </c>
      <c r="CH234" s="219">
        <f t="shared" si="130"/>
        <v>13.968166089965399</v>
      </c>
      <c r="CI234" s="225">
        <f t="shared" si="134"/>
        <v>11.923440453686201</v>
      </c>
      <c r="CJ234" s="219">
        <f t="shared" si="136"/>
        <v>10.29690847872666</v>
      </c>
      <c r="CK234" s="202">
        <f t="shared" si="137"/>
        <v>9.3306213017751478</v>
      </c>
      <c r="CL234" s="203">
        <f t="shared" si="140"/>
        <v>7.0083333333333329</v>
      </c>
      <c r="CM234" s="202">
        <f t="shared" si="144"/>
        <v>5.2993068683049929</v>
      </c>
    </row>
    <row r="235" spans="1:91" ht="10.5" customHeight="1">
      <c r="A235" s="179" t="str">
        <f t="shared" si="119"/>
        <v/>
      </c>
      <c r="B235" s="201">
        <v>2.95</v>
      </c>
      <c r="C235" s="200"/>
      <c r="D235" s="200"/>
      <c r="E235" s="200"/>
      <c r="F235" s="200"/>
      <c r="G235" s="200"/>
      <c r="H235" s="199"/>
      <c r="I235" s="198"/>
      <c r="J235" s="198"/>
      <c r="K235" s="198"/>
      <c r="L235" s="198"/>
      <c r="M235" s="198"/>
      <c r="N235" s="198"/>
      <c r="O235" s="198"/>
      <c r="P235" s="198"/>
      <c r="Q235" s="198"/>
      <c r="R235" s="198"/>
      <c r="S235" s="197"/>
      <c r="T235" s="194"/>
      <c r="U235" s="197"/>
      <c r="V235" s="194"/>
      <c r="W235" s="195"/>
      <c r="X235" s="195"/>
      <c r="Y235" s="194"/>
      <c r="Z235" s="195"/>
      <c r="AA235" s="195"/>
      <c r="AB235" s="194"/>
      <c r="AC235" s="195"/>
      <c r="AD235" s="195"/>
      <c r="AE235" s="194"/>
      <c r="AF235" s="195"/>
      <c r="AG235" s="195"/>
      <c r="AH235" s="196"/>
      <c r="AI235" s="195"/>
      <c r="AJ235" s="195"/>
      <c r="AK235" s="194"/>
      <c r="AL235" s="195"/>
      <c r="AM235" s="195"/>
      <c r="AN235" s="194"/>
      <c r="AO235" s="195"/>
      <c r="AP235" s="195"/>
      <c r="AQ235" s="194"/>
      <c r="AR235" s="195"/>
      <c r="AS235" s="195"/>
      <c r="AT235" s="194"/>
      <c r="AU235" s="195"/>
      <c r="AV235" s="195"/>
      <c r="AW235" s="194"/>
      <c r="AX235" s="195"/>
      <c r="AY235" s="195"/>
      <c r="AZ235" s="194"/>
      <c r="BA235" s="195"/>
      <c r="BB235" s="194"/>
      <c r="BC235" s="195"/>
      <c r="BD235" s="195"/>
      <c r="BE235" s="194"/>
      <c r="BF235" s="195"/>
      <c r="BG235" s="195"/>
      <c r="BH235" s="194"/>
      <c r="BI235" s="195"/>
      <c r="BJ235" s="195"/>
      <c r="BK235" s="194"/>
      <c r="BL235" s="195"/>
      <c r="BM235" s="195"/>
      <c r="BN235" s="194"/>
      <c r="BO235" s="195"/>
      <c r="BP235" s="194"/>
      <c r="BQ235" s="195"/>
      <c r="BR235" s="195"/>
      <c r="BS235" s="194"/>
      <c r="BT235" s="224"/>
      <c r="BU235" s="223">
        <f t="shared" si="138"/>
        <v>62.123735871505076</v>
      </c>
      <c r="BV235" s="217">
        <f t="shared" si="135"/>
        <v>53.94111570247933</v>
      </c>
      <c r="BW235" s="223">
        <f t="shared" si="139"/>
        <v>51.57037037037037</v>
      </c>
      <c r="BX235" s="217">
        <f t="shared" si="141"/>
        <v>47.274784970574913</v>
      </c>
      <c r="BY235" s="223">
        <f t="shared" si="142"/>
        <v>41.772000000000006</v>
      </c>
      <c r="BZ235" s="217">
        <f t="shared" si="143"/>
        <v>38.620562130177511</v>
      </c>
      <c r="CA235" s="223">
        <f t="shared" si="145"/>
        <v>35.812757201646093</v>
      </c>
      <c r="CB235" s="217">
        <f t="shared" si="146"/>
        <v>32.142197599261316</v>
      </c>
      <c r="CC235" s="238">
        <v>30</v>
      </c>
      <c r="CD235" s="217">
        <f t="shared" si="121"/>
        <v>24.717159763313614</v>
      </c>
      <c r="CE235" s="223">
        <f t="shared" si="122"/>
        <v>21.934467548834281</v>
      </c>
      <c r="CF235" s="217">
        <f t="shared" si="125"/>
        <v>20.144675925925924</v>
      </c>
      <c r="CG235" s="223">
        <f t="shared" si="127"/>
        <v>18.079986149584492</v>
      </c>
      <c r="CH235" s="217">
        <f t="shared" si="130"/>
        <v>14.453979238754329</v>
      </c>
      <c r="CI235" s="223">
        <f t="shared" si="134"/>
        <v>12.338137996219285</v>
      </c>
      <c r="CJ235" s="217">
        <f t="shared" si="136"/>
        <v>10.655035200489749</v>
      </c>
      <c r="CK235" s="191">
        <f t="shared" si="137"/>
        <v>9.6551405325443778</v>
      </c>
      <c r="CL235" s="192">
        <f t="shared" si="140"/>
        <v>7.252083333333335</v>
      </c>
      <c r="CM235" s="191">
        <f t="shared" si="144"/>
        <v>5.4836168872085871</v>
      </c>
    </row>
    <row r="236" spans="1:91" ht="10.5" customHeight="1">
      <c r="A236" s="179" t="str">
        <f t="shared" si="119"/>
        <v/>
      </c>
      <c r="B236" s="190">
        <v>3</v>
      </c>
      <c r="C236" s="189"/>
      <c r="D236" s="189"/>
      <c r="E236" s="189"/>
      <c r="F236" s="189"/>
      <c r="G236" s="189"/>
      <c r="H236" s="188"/>
      <c r="I236" s="187"/>
      <c r="J236" s="187"/>
      <c r="K236" s="187"/>
      <c r="L236" s="187"/>
      <c r="M236" s="187"/>
      <c r="N236" s="187"/>
      <c r="O236" s="187"/>
      <c r="P236" s="187"/>
      <c r="Q236" s="187"/>
      <c r="R236" s="187"/>
      <c r="S236" s="186"/>
      <c r="T236" s="183"/>
      <c r="U236" s="186"/>
      <c r="V236" s="183"/>
      <c r="W236" s="184"/>
      <c r="X236" s="184"/>
      <c r="Y236" s="183"/>
      <c r="Z236" s="184"/>
      <c r="AA236" s="184"/>
      <c r="AB236" s="183"/>
      <c r="AC236" s="184"/>
      <c r="AD236" s="184"/>
      <c r="AE236" s="183"/>
      <c r="AF236" s="184"/>
      <c r="AG236" s="184"/>
      <c r="AH236" s="185"/>
      <c r="AI236" s="184"/>
      <c r="AJ236" s="184"/>
      <c r="AK236" s="183"/>
      <c r="AL236" s="184"/>
      <c r="AM236" s="184"/>
      <c r="AN236" s="183"/>
      <c r="AO236" s="184"/>
      <c r="AP236" s="184"/>
      <c r="AQ236" s="183"/>
      <c r="AR236" s="184"/>
      <c r="AS236" s="184"/>
      <c r="AT236" s="183"/>
      <c r="AU236" s="184"/>
      <c r="AV236" s="184"/>
      <c r="AW236" s="183"/>
      <c r="AX236" s="184"/>
      <c r="AY236" s="184"/>
      <c r="AZ236" s="183"/>
      <c r="BA236" s="184"/>
      <c r="BB236" s="183"/>
      <c r="BC236" s="184"/>
      <c r="BD236" s="184"/>
      <c r="BE236" s="183"/>
      <c r="BF236" s="184"/>
      <c r="BG236" s="184"/>
      <c r="BH236" s="183"/>
      <c r="BI236" s="184"/>
      <c r="BJ236" s="184"/>
      <c r="BK236" s="183"/>
      <c r="BL236" s="184"/>
      <c r="BM236" s="184"/>
      <c r="BN236" s="183"/>
      <c r="BO236" s="184"/>
      <c r="BP236" s="183"/>
      <c r="BQ236" s="184"/>
      <c r="BR236" s="184"/>
      <c r="BS236" s="183"/>
      <c r="BT236" s="182"/>
      <c r="BU236" s="221">
        <f t="shared" si="138"/>
        <v>64.247471743010124</v>
      </c>
      <c r="BV236" s="214">
        <f t="shared" si="135"/>
        <v>55.785123966942145</v>
      </c>
      <c r="BW236" s="221">
        <f t="shared" si="139"/>
        <v>53.333333333333329</v>
      </c>
      <c r="BX236" s="214">
        <f t="shared" si="141"/>
        <v>48.890900860117689</v>
      </c>
      <c r="BY236" s="221">
        <f t="shared" si="142"/>
        <v>43.199999999999996</v>
      </c>
      <c r="BZ236" s="214">
        <f t="shared" si="143"/>
        <v>39.940828402366854</v>
      </c>
      <c r="CA236" s="221">
        <f t="shared" si="145"/>
        <v>37.037037037037031</v>
      </c>
      <c r="CB236" s="214">
        <f t="shared" si="146"/>
        <v>33.240997229916893</v>
      </c>
      <c r="CC236" s="221">
        <f t="shared" ref="CC236:CC266" si="147" xml:space="preserve"> 30*(B236/B$235)^2</f>
        <v>31.025567365699509</v>
      </c>
      <c r="CD236" s="214">
        <f t="shared" si="121"/>
        <v>25.562130177514796</v>
      </c>
      <c r="CE236" s="221">
        <f t="shared" si="122"/>
        <v>22.684310018903592</v>
      </c>
      <c r="CF236" s="214">
        <f t="shared" si="125"/>
        <v>20.833333333333329</v>
      </c>
      <c r="CG236" s="221">
        <f t="shared" si="127"/>
        <v>18.698060941828256</v>
      </c>
      <c r="CH236" s="214">
        <f t="shared" si="130"/>
        <v>14.94809688581315</v>
      </c>
      <c r="CI236" s="221">
        <f t="shared" si="134"/>
        <v>12.759924385633271</v>
      </c>
      <c r="CJ236" s="214">
        <f t="shared" si="136"/>
        <v>11.019283746556475</v>
      </c>
      <c r="CK236" s="180">
        <f t="shared" si="137"/>
        <v>9.9852071005917136</v>
      </c>
      <c r="CL236" s="181">
        <f t="shared" si="140"/>
        <v>7.5</v>
      </c>
      <c r="CM236" s="180">
        <f t="shared" si="144"/>
        <v>5.6710775047259148</v>
      </c>
    </row>
    <row r="237" spans="1:91" ht="10.5" customHeight="1">
      <c r="A237" s="179" t="str">
        <f t="shared" si="119"/>
        <v/>
      </c>
      <c r="B237" s="190">
        <v>3.05</v>
      </c>
      <c r="C237" s="189"/>
      <c r="D237" s="189"/>
      <c r="E237" s="189"/>
      <c r="F237" s="189"/>
      <c r="G237" s="189"/>
      <c r="H237" s="188"/>
      <c r="I237" s="187"/>
      <c r="J237" s="187"/>
      <c r="K237" s="187"/>
      <c r="L237" s="187"/>
      <c r="M237" s="187"/>
      <c r="N237" s="187"/>
      <c r="O237" s="187"/>
      <c r="P237" s="187"/>
      <c r="Q237" s="187"/>
      <c r="R237" s="187"/>
      <c r="S237" s="186"/>
      <c r="T237" s="183"/>
      <c r="U237" s="186"/>
      <c r="V237" s="183"/>
      <c r="W237" s="184"/>
      <c r="X237" s="184"/>
      <c r="Y237" s="183"/>
      <c r="Z237" s="184"/>
      <c r="AA237" s="184"/>
      <c r="AB237" s="183"/>
      <c r="AC237" s="184"/>
      <c r="AD237" s="184"/>
      <c r="AE237" s="183"/>
      <c r="AF237" s="184"/>
      <c r="AG237" s="184"/>
      <c r="AH237" s="185"/>
      <c r="AI237" s="184"/>
      <c r="AJ237" s="184"/>
      <c r="AK237" s="183"/>
      <c r="AL237" s="184"/>
      <c r="AM237" s="184"/>
      <c r="AN237" s="183"/>
      <c r="AO237" s="184"/>
      <c r="AP237" s="184"/>
      <c r="AQ237" s="183"/>
      <c r="AR237" s="184"/>
      <c r="AS237" s="184"/>
      <c r="AT237" s="183"/>
      <c r="AU237" s="184"/>
      <c r="AV237" s="184"/>
      <c r="AW237" s="183"/>
      <c r="AX237" s="184"/>
      <c r="AY237" s="184"/>
      <c r="AZ237" s="183"/>
      <c r="BA237" s="184"/>
      <c r="BB237" s="183"/>
      <c r="BC237" s="184"/>
      <c r="BD237" s="184"/>
      <c r="BE237" s="183"/>
      <c r="BF237" s="184"/>
      <c r="BG237" s="184"/>
      <c r="BH237" s="183"/>
      <c r="BI237" s="184"/>
      <c r="BJ237" s="184"/>
      <c r="BK237" s="183"/>
      <c r="BL237" s="184"/>
      <c r="BM237" s="184"/>
      <c r="BN237" s="183"/>
      <c r="BO237" s="184"/>
      <c r="BP237" s="183"/>
      <c r="BQ237" s="184"/>
      <c r="BR237" s="184"/>
      <c r="BS237" s="183"/>
      <c r="BT237" s="182"/>
      <c r="BU237" s="221">
        <f t="shared" si="138"/>
        <v>66.406900654372407</v>
      </c>
      <c r="BV237" s="214">
        <f t="shared" si="135"/>
        <v>57.660123966942137</v>
      </c>
      <c r="BW237" s="221">
        <f t="shared" si="139"/>
        <v>55.125925925925912</v>
      </c>
      <c r="BX237" s="214">
        <f t="shared" si="141"/>
        <v>50.534178361249431</v>
      </c>
      <c r="BY237" s="221">
        <f t="shared" si="142"/>
        <v>44.652000000000001</v>
      </c>
      <c r="BZ237" s="214">
        <f t="shared" si="143"/>
        <v>41.283284023668628</v>
      </c>
      <c r="CA237" s="221">
        <f t="shared" si="145"/>
        <v>38.281893004115219</v>
      </c>
      <c r="CB237" s="214">
        <f t="shared" si="146"/>
        <v>34.358264081255768</v>
      </c>
      <c r="CC237" s="221">
        <f t="shared" si="147"/>
        <v>32.068371157713294</v>
      </c>
      <c r="CD237" s="214">
        <f t="shared" si="121"/>
        <v>26.421301775147928</v>
      </c>
      <c r="CE237" s="221">
        <f t="shared" si="122"/>
        <v>23.446754883427847</v>
      </c>
      <c r="CF237" s="214">
        <f t="shared" si="125"/>
        <v>21.53356481481481</v>
      </c>
      <c r="CG237" s="221">
        <f t="shared" si="127"/>
        <v>19.326523545706369</v>
      </c>
      <c r="CH237" s="214">
        <f t="shared" si="130"/>
        <v>15.450519031141869</v>
      </c>
      <c r="CI237" s="221">
        <f t="shared" si="134"/>
        <v>13.188799621928169</v>
      </c>
      <c r="CJ237" s="214">
        <f t="shared" si="136"/>
        <v>11.389654116926843</v>
      </c>
      <c r="CK237" s="180">
        <f t="shared" si="137"/>
        <v>10.320821005917157</v>
      </c>
      <c r="CL237" s="181">
        <f t="shared" si="140"/>
        <v>7.7520833333333332</v>
      </c>
      <c r="CM237" s="180">
        <f t="shared" si="144"/>
        <v>5.8616887208569795</v>
      </c>
    </row>
    <row r="238" spans="1:91" ht="10.5" customHeight="1">
      <c r="A238" s="179" t="str">
        <f t="shared" si="119"/>
        <v/>
      </c>
      <c r="B238" s="213">
        <v>3.1</v>
      </c>
      <c r="C238" s="212"/>
      <c r="D238" s="212"/>
      <c r="E238" s="212"/>
      <c r="F238" s="212"/>
      <c r="G238" s="212"/>
      <c r="H238" s="211"/>
      <c r="I238" s="210"/>
      <c r="J238" s="210"/>
      <c r="K238" s="210"/>
      <c r="L238" s="210"/>
      <c r="M238" s="210"/>
      <c r="N238" s="210"/>
      <c r="O238" s="210"/>
      <c r="P238" s="210"/>
      <c r="Q238" s="210"/>
      <c r="R238" s="210"/>
      <c r="S238" s="209"/>
      <c r="T238" s="207"/>
      <c r="U238" s="209"/>
      <c r="V238" s="207"/>
      <c r="W238" s="206"/>
      <c r="X238" s="206"/>
      <c r="Y238" s="207"/>
      <c r="Z238" s="206"/>
      <c r="AA238" s="206"/>
      <c r="AB238" s="207"/>
      <c r="AC238" s="206"/>
      <c r="AD238" s="206"/>
      <c r="AE238" s="207"/>
      <c r="AF238" s="206"/>
      <c r="AG238" s="206"/>
      <c r="AH238" s="208"/>
      <c r="AI238" s="206"/>
      <c r="AJ238" s="206"/>
      <c r="AK238" s="207"/>
      <c r="AL238" s="206"/>
      <c r="AM238" s="206"/>
      <c r="AN238" s="207"/>
      <c r="AO238" s="206"/>
      <c r="AP238" s="206"/>
      <c r="AQ238" s="207"/>
      <c r="AR238" s="206"/>
      <c r="AS238" s="206"/>
      <c r="AT238" s="207"/>
      <c r="AU238" s="206"/>
      <c r="AV238" s="206"/>
      <c r="AW238" s="207"/>
      <c r="AX238" s="206"/>
      <c r="AY238" s="206"/>
      <c r="AZ238" s="207"/>
      <c r="BA238" s="206"/>
      <c r="BB238" s="207"/>
      <c r="BC238" s="206"/>
      <c r="BD238" s="206"/>
      <c r="BE238" s="207"/>
      <c r="BF238" s="206"/>
      <c r="BG238" s="206"/>
      <c r="BH238" s="207"/>
      <c r="BI238" s="206"/>
      <c r="BJ238" s="206"/>
      <c r="BK238" s="207"/>
      <c r="BL238" s="206"/>
      <c r="BM238" s="206"/>
      <c r="BN238" s="207"/>
      <c r="BO238" s="206"/>
      <c r="BP238" s="207"/>
      <c r="BQ238" s="206"/>
      <c r="BR238" s="206"/>
      <c r="BS238" s="207"/>
      <c r="BT238" s="226"/>
      <c r="BU238" s="225">
        <f t="shared" si="138"/>
        <v>68.602022605591927</v>
      </c>
      <c r="BV238" s="219">
        <f t="shared" si="135"/>
        <v>59.566115702479323</v>
      </c>
      <c r="BW238" s="225">
        <f t="shared" si="139"/>
        <v>56.948148148148142</v>
      </c>
      <c r="BX238" s="219">
        <f t="shared" si="141"/>
        <v>52.204617473970117</v>
      </c>
      <c r="BY238" s="225">
        <f t="shared" si="142"/>
        <v>46.128</v>
      </c>
      <c r="BZ238" s="219">
        <f t="shared" si="143"/>
        <v>42.647928994082839</v>
      </c>
      <c r="CA238" s="225">
        <f t="shared" si="145"/>
        <v>39.547325102880656</v>
      </c>
      <c r="CB238" s="219">
        <f t="shared" si="146"/>
        <v>35.493998153277936</v>
      </c>
      <c r="CC238" s="225">
        <f t="shared" si="147"/>
        <v>33.128411376041363</v>
      </c>
      <c r="CD238" s="219">
        <f t="shared" si="121"/>
        <v>27.294674556213021</v>
      </c>
      <c r="CE238" s="225">
        <f t="shared" si="122"/>
        <v>24.221802142407057</v>
      </c>
      <c r="CF238" s="219">
        <f t="shared" si="125"/>
        <v>22.245370370370374</v>
      </c>
      <c r="CG238" s="225">
        <f t="shared" si="127"/>
        <v>19.965373961218841</v>
      </c>
      <c r="CH238" s="219">
        <f t="shared" si="130"/>
        <v>15.961245674740489</v>
      </c>
      <c r="CI238" s="225">
        <f t="shared" si="134"/>
        <v>13.624763705103973</v>
      </c>
      <c r="CJ238" s="219">
        <f t="shared" si="136"/>
        <v>11.766146311600858</v>
      </c>
      <c r="CK238" s="202">
        <f t="shared" si="137"/>
        <v>10.66198224852071</v>
      </c>
      <c r="CL238" s="203">
        <f t="shared" si="140"/>
        <v>8.0083333333333346</v>
      </c>
      <c r="CM238" s="202">
        <f t="shared" si="144"/>
        <v>6.055450535601782</v>
      </c>
    </row>
    <row r="239" spans="1:91" ht="10.5" customHeight="1" thickBot="1">
      <c r="A239" s="179" t="str">
        <f t="shared" si="119"/>
        <v/>
      </c>
      <c r="B239" s="201">
        <v>3.15</v>
      </c>
      <c r="C239" s="200"/>
      <c r="D239" s="200"/>
      <c r="E239" s="200"/>
      <c r="F239" s="200"/>
      <c r="G239" s="200"/>
      <c r="H239" s="199"/>
      <c r="I239" s="198"/>
      <c r="J239" s="198"/>
      <c r="K239" s="198"/>
      <c r="L239" s="198"/>
      <c r="M239" s="198"/>
      <c r="N239" s="198"/>
      <c r="O239" s="198"/>
      <c r="P239" s="198"/>
      <c r="Q239" s="198"/>
      <c r="R239" s="198"/>
      <c r="S239" s="197"/>
      <c r="T239" s="194"/>
      <c r="U239" s="197"/>
      <c r="V239" s="194"/>
      <c r="W239" s="195"/>
      <c r="X239" s="195"/>
      <c r="Y239" s="194"/>
      <c r="Z239" s="195"/>
      <c r="AA239" s="195"/>
      <c r="AB239" s="194"/>
      <c r="AC239" s="195"/>
      <c r="AD239" s="195"/>
      <c r="AE239" s="194"/>
      <c r="AF239" s="195"/>
      <c r="AG239" s="195"/>
      <c r="AH239" s="196"/>
      <c r="AI239" s="195"/>
      <c r="AJ239" s="195"/>
      <c r="AK239" s="194"/>
      <c r="AL239" s="195"/>
      <c r="AM239" s="195"/>
      <c r="AN239" s="194"/>
      <c r="AO239" s="195"/>
      <c r="AP239" s="195"/>
      <c r="AQ239" s="194"/>
      <c r="AR239" s="195"/>
      <c r="AS239" s="195"/>
      <c r="AT239" s="194"/>
      <c r="AU239" s="195"/>
      <c r="AV239" s="195"/>
      <c r="AW239" s="194"/>
      <c r="AX239" s="195"/>
      <c r="AY239" s="195"/>
      <c r="AZ239" s="194"/>
      <c r="BA239" s="195"/>
      <c r="BB239" s="194"/>
      <c r="BC239" s="195"/>
      <c r="BD239" s="195"/>
      <c r="BE239" s="194"/>
      <c r="BF239" s="195"/>
      <c r="BG239" s="195"/>
      <c r="BH239" s="194"/>
      <c r="BI239" s="195"/>
      <c r="BJ239" s="195"/>
      <c r="BK239" s="194"/>
      <c r="BL239" s="195"/>
      <c r="BM239" s="195"/>
      <c r="BN239" s="194"/>
      <c r="BO239" s="195"/>
      <c r="BP239" s="194"/>
      <c r="BQ239" s="195"/>
      <c r="BR239" s="195"/>
      <c r="BS239" s="194"/>
      <c r="BT239" s="224"/>
      <c r="BU239" s="220">
        <f t="shared" si="138"/>
        <v>70.832837596668654</v>
      </c>
      <c r="BV239" s="217">
        <f t="shared" si="135"/>
        <v>61.503099173553707</v>
      </c>
      <c r="BW239" s="223">
        <f t="shared" si="139"/>
        <v>58.79999999999999</v>
      </c>
      <c r="BX239" s="217">
        <f t="shared" si="141"/>
        <v>53.902218198279748</v>
      </c>
      <c r="BY239" s="223">
        <f t="shared" si="142"/>
        <v>47.628</v>
      </c>
      <c r="BZ239" s="217">
        <f t="shared" si="143"/>
        <v>44.03476331360946</v>
      </c>
      <c r="CA239" s="223">
        <f t="shared" si="145"/>
        <v>40.833333333333321</v>
      </c>
      <c r="CB239" s="217">
        <f t="shared" si="146"/>
        <v>36.648199445983366</v>
      </c>
      <c r="CC239" s="223">
        <f t="shared" si="147"/>
        <v>34.205688020683702</v>
      </c>
      <c r="CD239" s="217">
        <f t="shared" si="121"/>
        <v>28.182248520710058</v>
      </c>
      <c r="CE239" s="223">
        <f t="shared" si="122"/>
        <v>25.009451795841205</v>
      </c>
      <c r="CF239" s="217">
        <f t="shared" si="125"/>
        <v>22.96875</v>
      </c>
      <c r="CG239" s="223">
        <f t="shared" si="127"/>
        <v>20.614612188365651</v>
      </c>
      <c r="CH239" s="217">
        <f t="shared" si="130"/>
        <v>16.480276816608999</v>
      </c>
      <c r="CI239" s="223">
        <f t="shared" si="134"/>
        <v>14.067816635160682</v>
      </c>
      <c r="CJ239" s="217">
        <f t="shared" si="136"/>
        <v>12.148760330578511</v>
      </c>
      <c r="CK239" s="191">
        <f t="shared" si="137"/>
        <v>11.008690828402365</v>
      </c>
      <c r="CL239" s="192">
        <f t="shared" si="140"/>
        <v>8.2687500000000007</v>
      </c>
      <c r="CM239" s="191">
        <f t="shared" si="144"/>
        <v>6.2523629489603216</v>
      </c>
    </row>
    <row r="240" spans="1:91" ht="10.5" customHeight="1">
      <c r="A240" s="179" t="str">
        <f t="shared" si="119"/>
        <v/>
      </c>
      <c r="B240" s="190">
        <v>3.2</v>
      </c>
      <c r="C240" s="189"/>
      <c r="D240" s="189"/>
      <c r="E240" s="189"/>
      <c r="F240" s="189"/>
      <c r="G240" s="189"/>
      <c r="H240" s="188"/>
      <c r="I240" s="187"/>
      <c r="J240" s="187"/>
      <c r="K240" s="187"/>
      <c r="L240" s="187"/>
      <c r="M240" s="187"/>
      <c r="N240" s="187"/>
      <c r="O240" s="187"/>
      <c r="P240" s="187"/>
      <c r="Q240" s="187"/>
      <c r="R240" s="187"/>
      <c r="S240" s="186"/>
      <c r="T240" s="183"/>
      <c r="U240" s="186"/>
      <c r="V240" s="183"/>
      <c r="W240" s="184"/>
      <c r="X240" s="184"/>
      <c r="Y240" s="183"/>
      <c r="Z240" s="184"/>
      <c r="AA240" s="184"/>
      <c r="AB240" s="183"/>
      <c r="AC240" s="184"/>
      <c r="AD240" s="184"/>
      <c r="AE240" s="183"/>
      <c r="AF240" s="184"/>
      <c r="AG240" s="184"/>
      <c r="AH240" s="185"/>
      <c r="AI240" s="184"/>
      <c r="AJ240" s="184"/>
      <c r="AK240" s="183"/>
      <c r="AL240" s="184"/>
      <c r="AM240" s="184"/>
      <c r="AN240" s="183"/>
      <c r="AO240" s="184"/>
      <c r="AP240" s="184"/>
      <c r="AQ240" s="183"/>
      <c r="AR240" s="184"/>
      <c r="AS240" s="184"/>
      <c r="AT240" s="183"/>
      <c r="AU240" s="184"/>
      <c r="AV240" s="184"/>
      <c r="AW240" s="183"/>
      <c r="AX240" s="184"/>
      <c r="AY240" s="184"/>
      <c r="AZ240" s="183"/>
      <c r="BA240" s="184"/>
      <c r="BB240" s="183"/>
      <c r="BC240" s="184"/>
      <c r="BD240" s="184"/>
      <c r="BE240" s="183"/>
      <c r="BF240" s="184"/>
      <c r="BG240" s="184"/>
      <c r="BH240" s="183"/>
      <c r="BI240" s="184"/>
      <c r="BJ240" s="184"/>
      <c r="BK240" s="183"/>
      <c r="BL240" s="184"/>
      <c r="BM240" s="184"/>
      <c r="BN240" s="183"/>
      <c r="BO240" s="184"/>
      <c r="BP240" s="183"/>
      <c r="BQ240" s="184"/>
      <c r="BR240" s="184"/>
      <c r="BS240" s="183"/>
      <c r="BT240" s="184"/>
      <c r="BU240" s="215"/>
      <c r="BV240" s="214">
        <f t="shared" si="135"/>
        <v>63.471074380165291</v>
      </c>
      <c r="BW240" s="221">
        <f t="shared" si="139"/>
        <v>60.681481481481484</v>
      </c>
      <c r="BX240" s="214">
        <f t="shared" si="141"/>
        <v>55.626980534178358</v>
      </c>
      <c r="BY240" s="221">
        <f t="shared" si="142"/>
        <v>49.152000000000001</v>
      </c>
      <c r="BZ240" s="214">
        <f t="shared" si="143"/>
        <v>45.443786982248525</v>
      </c>
      <c r="CA240" s="221">
        <f t="shared" si="145"/>
        <v>42.139917695473251</v>
      </c>
      <c r="CB240" s="214">
        <f t="shared" si="146"/>
        <v>37.820867959372116</v>
      </c>
      <c r="CC240" s="221">
        <f t="shared" si="147"/>
        <v>35.300201091640332</v>
      </c>
      <c r="CD240" s="214">
        <f t="shared" si="121"/>
        <v>29.084023668639055</v>
      </c>
      <c r="CE240" s="221">
        <f t="shared" si="122"/>
        <v>25.809703843730311</v>
      </c>
      <c r="CF240" s="214">
        <f t="shared" si="125"/>
        <v>23.703703703703706</v>
      </c>
      <c r="CG240" s="221">
        <f t="shared" si="127"/>
        <v>21.274238227146817</v>
      </c>
      <c r="CH240" s="214">
        <f t="shared" si="130"/>
        <v>17.007612456747403</v>
      </c>
      <c r="CI240" s="221">
        <f t="shared" si="134"/>
        <v>14.517958412098302</v>
      </c>
      <c r="CJ240" s="214">
        <f t="shared" si="136"/>
        <v>12.537496173859811</v>
      </c>
      <c r="CK240" s="180">
        <f t="shared" si="137"/>
        <v>11.360946745562131</v>
      </c>
      <c r="CL240" s="181">
        <f t="shared" si="140"/>
        <v>8.5333333333333332</v>
      </c>
      <c r="CM240" s="180">
        <f t="shared" si="144"/>
        <v>6.4524259609325973</v>
      </c>
    </row>
    <row r="241" spans="1:91" ht="10.5" customHeight="1">
      <c r="A241" s="179" t="str">
        <f t="shared" si="119"/>
        <v/>
      </c>
      <c r="B241" s="190">
        <v>3.25</v>
      </c>
      <c r="C241" s="189"/>
      <c r="D241" s="189"/>
      <c r="E241" s="189"/>
      <c r="F241" s="189"/>
      <c r="G241" s="189"/>
      <c r="H241" s="188"/>
      <c r="I241" s="187"/>
      <c r="J241" s="187"/>
      <c r="K241" s="187"/>
      <c r="L241" s="187"/>
      <c r="M241" s="187"/>
      <c r="N241" s="187"/>
      <c r="O241" s="187"/>
      <c r="P241" s="187"/>
      <c r="Q241" s="187"/>
      <c r="R241" s="187"/>
      <c r="S241" s="186"/>
      <c r="T241" s="183"/>
      <c r="U241" s="186"/>
      <c r="V241" s="183"/>
      <c r="W241" s="184"/>
      <c r="X241" s="184"/>
      <c r="Y241" s="183"/>
      <c r="Z241" s="184"/>
      <c r="AA241" s="184"/>
      <c r="AB241" s="183"/>
      <c r="AC241" s="184"/>
      <c r="AD241" s="184"/>
      <c r="AE241" s="183"/>
      <c r="AF241" s="184"/>
      <c r="AG241" s="184"/>
      <c r="AH241" s="185"/>
      <c r="AI241" s="184"/>
      <c r="AJ241" s="184"/>
      <c r="AK241" s="183"/>
      <c r="AL241" s="184"/>
      <c r="AM241" s="184"/>
      <c r="AN241" s="183"/>
      <c r="AO241" s="184"/>
      <c r="AP241" s="184"/>
      <c r="AQ241" s="183"/>
      <c r="AR241" s="184"/>
      <c r="AS241" s="184"/>
      <c r="AT241" s="183"/>
      <c r="AU241" s="184"/>
      <c r="AV241" s="184"/>
      <c r="AW241" s="183"/>
      <c r="AX241" s="184"/>
      <c r="AY241" s="184"/>
      <c r="AZ241" s="183"/>
      <c r="BA241" s="184"/>
      <c r="BB241" s="183"/>
      <c r="BC241" s="184"/>
      <c r="BD241" s="184"/>
      <c r="BE241" s="183"/>
      <c r="BF241" s="184"/>
      <c r="BG241" s="184"/>
      <c r="BH241" s="183"/>
      <c r="BI241" s="184"/>
      <c r="BJ241" s="184"/>
      <c r="BK241" s="183"/>
      <c r="BL241" s="184"/>
      <c r="BM241" s="184"/>
      <c r="BN241" s="183"/>
      <c r="BO241" s="184"/>
      <c r="BP241" s="183"/>
      <c r="BQ241" s="184"/>
      <c r="BR241" s="184"/>
      <c r="BS241" s="183"/>
      <c r="BT241" s="184"/>
      <c r="BU241" s="215"/>
      <c r="BV241" s="214">
        <f t="shared" si="135"/>
        <v>65.470041322314032</v>
      </c>
      <c r="BW241" s="221">
        <f t="shared" si="139"/>
        <v>62.592592592592588</v>
      </c>
      <c r="BX241" s="214">
        <f t="shared" si="141"/>
        <v>57.378904481665899</v>
      </c>
      <c r="BY241" s="221">
        <f t="shared" si="142"/>
        <v>50.7</v>
      </c>
      <c r="BZ241" s="214">
        <f t="shared" si="143"/>
        <v>46.875</v>
      </c>
      <c r="CA241" s="221">
        <f t="shared" si="145"/>
        <v>43.467078189300409</v>
      </c>
      <c r="CB241" s="214">
        <f t="shared" si="146"/>
        <v>39.012003693444136</v>
      </c>
      <c r="CC241" s="221">
        <f t="shared" si="147"/>
        <v>36.411950588911225</v>
      </c>
      <c r="CD241" s="237">
        <v>30</v>
      </c>
      <c r="CE241" s="221">
        <f t="shared" si="122"/>
        <v>26.622558286074351</v>
      </c>
      <c r="CF241" s="214">
        <f t="shared" si="125"/>
        <v>24.450231481481481</v>
      </c>
      <c r="CG241" s="221">
        <f t="shared" si="127"/>
        <v>21.944252077562325</v>
      </c>
      <c r="CH241" s="214">
        <f t="shared" ref="CH241:CH260" si="148" xml:space="preserve"> 30*(B241/B$261)^2</f>
        <v>17.543252595155707</v>
      </c>
      <c r="CI241" s="221">
        <f t="shared" si="134"/>
        <v>14.975189035916825</v>
      </c>
      <c r="CJ241" s="214">
        <f t="shared" si="136"/>
        <v>12.932353841444751</v>
      </c>
      <c r="CK241" s="180">
        <f t="shared" si="137"/>
        <v>11.71875</v>
      </c>
      <c r="CL241" s="181">
        <f t="shared" si="140"/>
        <v>8.8020833333333321</v>
      </c>
      <c r="CM241" s="180">
        <f t="shared" si="144"/>
        <v>6.6556395715186083</v>
      </c>
    </row>
    <row r="242" spans="1:91" ht="10.5" customHeight="1">
      <c r="A242" s="179" t="str">
        <f t="shared" si="119"/>
        <v/>
      </c>
      <c r="B242" s="213">
        <v>3.3</v>
      </c>
      <c r="C242" s="212"/>
      <c r="D242" s="212"/>
      <c r="E242" s="212"/>
      <c r="F242" s="212"/>
      <c r="G242" s="212"/>
      <c r="H242" s="211"/>
      <c r="I242" s="210"/>
      <c r="J242" s="210"/>
      <c r="K242" s="210"/>
      <c r="L242" s="210"/>
      <c r="M242" s="210"/>
      <c r="N242" s="210"/>
      <c r="O242" s="210"/>
      <c r="P242" s="210"/>
      <c r="Q242" s="210"/>
      <c r="R242" s="210"/>
      <c r="S242" s="209"/>
      <c r="T242" s="207"/>
      <c r="U242" s="209"/>
      <c r="V242" s="207"/>
      <c r="W242" s="206"/>
      <c r="X242" s="206"/>
      <c r="Y242" s="207"/>
      <c r="Z242" s="206"/>
      <c r="AA242" s="206"/>
      <c r="AB242" s="207"/>
      <c r="AC242" s="206"/>
      <c r="AD242" s="206"/>
      <c r="AE242" s="207"/>
      <c r="AF242" s="206"/>
      <c r="AG242" s="206"/>
      <c r="AH242" s="208"/>
      <c r="AI242" s="206"/>
      <c r="AJ242" s="206"/>
      <c r="AK242" s="207"/>
      <c r="AL242" s="206"/>
      <c r="AM242" s="206"/>
      <c r="AN242" s="207"/>
      <c r="AO242" s="206"/>
      <c r="AP242" s="206"/>
      <c r="AQ242" s="207"/>
      <c r="AR242" s="206"/>
      <c r="AS242" s="206"/>
      <c r="AT242" s="207"/>
      <c r="AU242" s="206"/>
      <c r="AV242" s="206"/>
      <c r="AW242" s="207"/>
      <c r="AX242" s="206"/>
      <c r="AY242" s="206"/>
      <c r="AZ242" s="207"/>
      <c r="BA242" s="206"/>
      <c r="BB242" s="207"/>
      <c r="BC242" s="206"/>
      <c r="BD242" s="206"/>
      <c r="BE242" s="207"/>
      <c r="BF242" s="206"/>
      <c r="BG242" s="206"/>
      <c r="BH242" s="207"/>
      <c r="BI242" s="206"/>
      <c r="BJ242" s="206"/>
      <c r="BK242" s="207"/>
      <c r="BL242" s="206"/>
      <c r="BM242" s="206"/>
      <c r="BN242" s="207"/>
      <c r="BO242" s="206"/>
      <c r="BP242" s="207"/>
      <c r="BQ242" s="206"/>
      <c r="BR242" s="206"/>
      <c r="BS242" s="207"/>
      <c r="BT242" s="206"/>
      <c r="BU242" s="205"/>
      <c r="BV242" s="219">
        <f t="shared" si="135"/>
        <v>67.499999999999972</v>
      </c>
      <c r="BW242" s="225">
        <f t="shared" si="139"/>
        <v>64.533333333333317</v>
      </c>
      <c r="BX242" s="219">
        <f t="shared" si="141"/>
        <v>59.157990040742398</v>
      </c>
      <c r="BY242" s="225">
        <f t="shared" si="142"/>
        <v>52.271999999999984</v>
      </c>
      <c r="BZ242" s="219">
        <f t="shared" si="143"/>
        <v>48.328402366863898</v>
      </c>
      <c r="CA242" s="225">
        <f t="shared" si="145"/>
        <v>44.81481481481481</v>
      </c>
      <c r="CB242" s="219">
        <f t="shared" si="146"/>
        <v>40.221606648199433</v>
      </c>
      <c r="CC242" s="225">
        <f t="shared" si="147"/>
        <v>37.540936512496401</v>
      </c>
      <c r="CD242" s="219">
        <f t="shared" ref="CD242:CD275" si="149" xml:space="preserve"> 30*(B242/B$241)^2</f>
        <v>30.930177514792895</v>
      </c>
      <c r="CE242" s="225">
        <f t="shared" si="122"/>
        <v>27.448015122873343</v>
      </c>
      <c r="CF242" s="219">
        <f t="shared" si="125"/>
        <v>25.208333333333329</v>
      </c>
      <c r="CG242" s="225">
        <f t="shared" si="127"/>
        <v>22.624653739612192</v>
      </c>
      <c r="CH242" s="219">
        <f t="shared" si="148"/>
        <v>18.087197231833905</v>
      </c>
      <c r="CI242" s="225">
        <f t="shared" si="134"/>
        <v>15.439508506616257</v>
      </c>
      <c r="CJ242" s="219">
        <f t="shared" si="136"/>
        <v>13.333333333333332</v>
      </c>
      <c r="CK242" s="202">
        <f t="shared" si="137"/>
        <v>12.082100591715975</v>
      </c>
      <c r="CL242" s="203">
        <f t="shared" si="140"/>
        <v>9.0749999999999975</v>
      </c>
      <c r="CM242" s="202">
        <f t="shared" si="144"/>
        <v>6.8620037807183563</v>
      </c>
    </row>
    <row r="243" spans="1:91" ht="10.5" customHeight="1" thickBot="1">
      <c r="A243" s="179" t="str">
        <f t="shared" si="119"/>
        <v/>
      </c>
      <c r="B243" s="201">
        <v>3.35</v>
      </c>
      <c r="C243" s="200"/>
      <c r="D243" s="200"/>
      <c r="E243" s="200"/>
      <c r="F243" s="200"/>
      <c r="G243" s="200"/>
      <c r="H243" s="199"/>
      <c r="I243" s="198"/>
      <c r="J243" s="198"/>
      <c r="K243" s="198"/>
      <c r="L243" s="198"/>
      <c r="M243" s="198"/>
      <c r="N243" s="198"/>
      <c r="O243" s="198"/>
      <c r="P243" s="198"/>
      <c r="Q243" s="198"/>
      <c r="R243" s="198"/>
      <c r="S243" s="197"/>
      <c r="T243" s="194"/>
      <c r="U243" s="197"/>
      <c r="V243" s="194"/>
      <c r="W243" s="195"/>
      <c r="X243" s="195"/>
      <c r="Y243" s="194"/>
      <c r="Z243" s="195"/>
      <c r="AA243" s="195"/>
      <c r="AB243" s="194"/>
      <c r="AC243" s="195"/>
      <c r="AD243" s="195"/>
      <c r="AE243" s="194"/>
      <c r="AF243" s="195"/>
      <c r="AG243" s="195"/>
      <c r="AH243" s="196"/>
      <c r="AI243" s="195"/>
      <c r="AJ243" s="195"/>
      <c r="AK243" s="194"/>
      <c r="AL243" s="195"/>
      <c r="AM243" s="195"/>
      <c r="AN243" s="194"/>
      <c r="AO243" s="195"/>
      <c r="AP243" s="195"/>
      <c r="AQ243" s="194"/>
      <c r="AR243" s="195"/>
      <c r="AS243" s="195"/>
      <c r="AT243" s="194"/>
      <c r="AU243" s="195"/>
      <c r="AV243" s="195"/>
      <c r="AW243" s="194"/>
      <c r="AX243" s="195"/>
      <c r="AY243" s="195"/>
      <c r="AZ243" s="194"/>
      <c r="BA243" s="195"/>
      <c r="BB243" s="194"/>
      <c r="BC243" s="195"/>
      <c r="BD243" s="195"/>
      <c r="BE243" s="194"/>
      <c r="BF243" s="195"/>
      <c r="BG243" s="195"/>
      <c r="BH243" s="194"/>
      <c r="BI243" s="195"/>
      <c r="BJ243" s="195"/>
      <c r="BK243" s="194"/>
      <c r="BL243" s="195"/>
      <c r="BM243" s="195"/>
      <c r="BN243" s="194"/>
      <c r="BO243" s="195"/>
      <c r="BP243" s="194"/>
      <c r="BQ243" s="195"/>
      <c r="BR243" s="195"/>
      <c r="BS243" s="194"/>
      <c r="BT243" s="195"/>
      <c r="BU243" s="228"/>
      <c r="BV243" s="227">
        <f t="shared" si="135"/>
        <v>69.560950413223139</v>
      </c>
      <c r="BW243" s="223">
        <f t="shared" si="139"/>
        <v>66.503703703703707</v>
      </c>
      <c r="BX243" s="217">
        <f t="shared" si="141"/>
        <v>60.964237211407877</v>
      </c>
      <c r="BY243" s="223">
        <f t="shared" si="142"/>
        <v>53.868000000000009</v>
      </c>
      <c r="BZ243" s="217">
        <f t="shared" si="143"/>
        <v>49.803994082840241</v>
      </c>
      <c r="CA243" s="223">
        <f t="shared" si="145"/>
        <v>46.18312757201646</v>
      </c>
      <c r="CB243" s="217">
        <f t="shared" si="146"/>
        <v>41.449676823638043</v>
      </c>
      <c r="CC243" s="223">
        <f t="shared" si="147"/>
        <v>38.687158862395854</v>
      </c>
      <c r="CD243" s="217">
        <f t="shared" si="149"/>
        <v>31.874556213017758</v>
      </c>
      <c r="CE243" s="223">
        <f t="shared" si="122"/>
        <v>28.286074354127283</v>
      </c>
      <c r="CF243" s="217">
        <f t="shared" si="125"/>
        <v>25.97800925925926</v>
      </c>
      <c r="CG243" s="223">
        <f t="shared" si="127"/>
        <v>23.315443213296405</v>
      </c>
      <c r="CH243" s="217">
        <f t="shared" si="148"/>
        <v>18.639446366782007</v>
      </c>
      <c r="CI243" s="223">
        <f t="shared" si="134"/>
        <v>15.910916824196601</v>
      </c>
      <c r="CJ243" s="217">
        <f t="shared" si="136"/>
        <v>13.740434649525561</v>
      </c>
      <c r="CK243" s="191">
        <f t="shared" si="137"/>
        <v>12.45099852071006</v>
      </c>
      <c r="CL243" s="192">
        <f t="shared" si="140"/>
        <v>9.3520833333333329</v>
      </c>
      <c r="CM243" s="191">
        <f t="shared" si="144"/>
        <v>7.0715185885318421</v>
      </c>
    </row>
    <row r="244" spans="1:91" ht="10.5" customHeight="1">
      <c r="A244" s="179" t="str">
        <f t="shared" si="119"/>
        <v/>
      </c>
      <c r="B244" s="190">
        <v>3.4</v>
      </c>
      <c r="C244" s="189"/>
      <c r="D244" s="189"/>
      <c r="E244" s="189"/>
      <c r="F244" s="189"/>
      <c r="G244" s="189"/>
      <c r="H244" s="188"/>
      <c r="I244" s="187"/>
      <c r="J244" s="187"/>
      <c r="K244" s="187"/>
      <c r="L244" s="187"/>
      <c r="M244" s="187"/>
      <c r="N244" s="187"/>
      <c r="O244" s="187"/>
      <c r="P244" s="187"/>
      <c r="Q244" s="187"/>
      <c r="R244" s="187"/>
      <c r="S244" s="186"/>
      <c r="T244" s="183"/>
      <c r="U244" s="186"/>
      <c r="V244" s="183"/>
      <c r="W244" s="184"/>
      <c r="X244" s="184"/>
      <c r="Y244" s="183"/>
      <c r="Z244" s="184"/>
      <c r="AA244" s="184"/>
      <c r="AB244" s="183"/>
      <c r="AC244" s="184"/>
      <c r="AD244" s="184"/>
      <c r="AE244" s="183"/>
      <c r="AF244" s="184"/>
      <c r="AG244" s="184"/>
      <c r="AH244" s="185"/>
      <c r="AI244" s="184"/>
      <c r="AJ244" s="184"/>
      <c r="AK244" s="183"/>
      <c r="AL244" s="184"/>
      <c r="AM244" s="184"/>
      <c r="AN244" s="183"/>
      <c r="AO244" s="184"/>
      <c r="AP244" s="184"/>
      <c r="AQ244" s="183"/>
      <c r="AR244" s="184"/>
      <c r="AS244" s="184"/>
      <c r="AT244" s="183"/>
      <c r="AU244" s="184"/>
      <c r="AV244" s="184"/>
      <c r="AW244" s="183"/>
      <c r="AX244" s="184"/>
      <c r="AY244" s="184"/>
      <c r="AZ244" s="183"/>
      <c r="BA244" s="184"/>
      <c r="BB244" s="183"/>
      <c r="BC244" s="184"/>
      <c r="BD244" s="184"/>
      <c r="BE244" s="183"/>
      <c r="BF244" s="184"/>
      <c r="BG244" s="184"/>
      <c r="BH244" s="183"/>
      <c r="BI244" s="184"/>
      <c r="BJ244" s="184"/>
      <c r="BK244" s="183"/>
      <c r="BL244" s="184"/>
      <c r="BM244" s="184"/>
      <c r="BN244" s="183"/>
      <c r="BO244" s="184"/>
      <c r="BP244" s="183"/>
      <c r="BQ244" s="184"/>
      <c r="BR244" s="184"/>
      <c r="BS244" s="183"/>
      <c r="BT244" s="184"/>
      <c r="BU244" s="183"/>
      <c r="BV244" s="182"/>
      <c r="BW244" s="221">
        <f t="shared" si="139"/>
        <v>68.503703703703692</v>
      </c>
      <c r="BX244" s="214">
        <f t="shared" si="141"/>
        <v>62.797645993662272</v>
      </c>
      <c r="BY244" s="221">
        <f t="shared" si="142"/>
        <v>55.487999999999992</v>
      </c>
      <c r="BZ244" s="214">
        <f t="shared" si="143"/>
        <v>51.301775147928993</v>
      </c>
      <c r="CA244" s="221">
        <f t="shared" si="145"/>
        <v>47.572016460905338</v>
      </c>
      <c r="CB244" s="214">
        <f t="shared" si="146"/>
        <v>42.696214219759916</v>
      </c>
      <c r="CC244" s="221">
        <f t="shared" si="147"/>
        <v>39.850617638609585</v>
      </c>
      <c r="CD244" s="214">
        <f t="shared" si="149"/>
        <v>32.833136094674558</v>
      </c>
      <c r="CE244" s="221">
        <f t="shared" si="122"/>
        <v>29.136735979836164</v>
      </c>
      <c r="CF244" s="214">
        <f t="shared" si="125"/>
        <v>26.75925925925926</v>
      </c>
      <c r="CG244" s="221">
        <f t="shared" si="127"/>
        <v>24.016620498614959</v>
      </c>
      <c r="CH244" s="214">
        <f t="shared" si="148"/>
        <v>19.199999999999996</v>
      </c>
      <c r="CI244" s="221">
        <f t="shared" ref="CI244:CI267" si="150" xml:space="preserve"> 30*(B244/B$268)^2</f>
        <v>16.38941398865785</v>
      </c>
      <c r="CJ244" s="214">
        <f t="shared" si="136"/>
        <v>14.153657790021425</v>
      </c>
      <c r="CK244" s="180">
        <f t="shared" si="137"/>
        <v>12.825443786982248</v>
      </c>
      <c r="CL244" s="181">
        <f t="shared" si="140"/>
        <v>9.6333333333333329</v>
      </c>
      <c r="CM244" s="180">
        <f t="shared" si="144"/>
        <v>7.2841839949590641</v>
      </c>
    </row>
    <row r="245" spans="1:91" ht="10.5" customHeight="1" thickBot="1">
      <c r="A245" s="179" t="str">
        <f t="shared" si="119"/>
        <v/>
      </c>
      <c r="B245" s="190">
        <v>3.45</v>
      </c>
      <c r="C245" s="189"/>
      <c r="D245" s="189"/>
      <c r="E245" s="189"/>
      <c r="F245" s="189"/>
      <c r="G245" s="189"/>
      <c r="H245" s="188"/>
      <c r="I245" s="187"/>
      <c r="J245" s="187"/>
      <c r="K245" s="187"/>
      <c r="L245" s="187"/>
      <c r="M245" s="187"/>
      <c r="N245" s="187"/>
      <c r="O245" s="187"/>
      <c r="P245" s="187"/>
      <c r="Q245" s="187"/>
      <c r="R245" s="187"/>
      <c r="S245" s="186"/>
      <c r="T245" s="183"/>
      <c r="U245" s="186"/>
      <c r="V245" s="183"/>
      <c r="W245" s="184"/>
      <c r="X245" s="184"/>
      <c r="Y245" s="183"/>
      <c r="Z245" s="184"/>
      <c r="AA245" s="184"/>
      <c r="AB245" s="183"/>
      <c r="AC245" s="184"/>
      <c r="AD245" s="184"/>
      <c r="AE245" s="183"/>
      <c r="AF245" s="184"/>
      <c r="AG245" s="184"/>
      <c r="AH245" s="185"/>
      <c r="AI245" s="184"/>
      <c r="AJ245" s="184"/>
      <c r="AK245" s="183"/>
      <c r="AL245" s="184"/>
      <c r="AM245" s="184"/>
      <c r="AN245" s="183"/>
      <c r="AO245" s="184"/>
      <c r="AP245" s="184"/>
      <c r="AQ245" s="183"/>
      <c r="AR245" s="184"/>
      <c r="AS245" s="184"/>
      <c r="AT245" s="183"/>
      <c r="AU245" s="184"/>
      <c r="AV245" s="184"/>
      <c r="AW245" s="183"/>
      <c r="AX245" s="184"/>
      <c r="AY245" s="184"/>
      <c r="AZ245" s="183"/>
      <c r="BA245" s="184"/>
      <c r="BB245" s="183"/>
      <c r="BC245" s="184"/>
      <c r="BD245" s="184"/>
      <c r="BE245" s="183"/>
      <c r="BF245" s="184"/>
      <c r="BG245" s="184"/>
      <c r="BH245" s="183"/>
      <c r="BI245" s="184"/>
      <c r="BJ245" s="184"/>
      <c r="BK245" s="183"/>
      <c r="BL245" s="184"/>
      <c r="BM245" s="184"/>
      <c r="BN245" s="183"/>
      <c r="BO245" s="184"/>
      <c r="BP245" s="183"/>
      <c r="BQ245" s="184"/>
      <c r="BR245" s="184"/>
      <c r="BS245" s="183"/>
      <c r="BT245" s="184"/>
      <c r="BU245" s="183"/>
      <c r="BV245" s="182"/>
      <c r="BW245" s="220">
        <f t="shared" si="139"/>
        <v>70.533333333333346</v>
      </c>
      <c r="BX245" s="214">
        <f t="shared" si="141"/>
        <v>64.658216387505661</v>
      </c>
      <c r="BY245" s="221">
        <f t="shared" si="142"/>
        <v>57.132000000000012</v>
      </c>
      <c r="BZ245" s="214">
        <f t="shared" si="143"/>
        <v>52.821745562130168</v>
      </c>
      <c r="CA245" s="221">
        <f t="shared" si="145"/>
        <v>48.981481481481474</v>
      </c>
      <c r="CB245" s="214">
        <f t="shared" si="146"/>
        <v>43.961218836565095</v>
      </c>
      <c r="CC245" s="221">
        <f t="shared" si="147"/>
        <v>41.031312841137606</v>
      </c>
      <c r="CD245" s="214">
        <f t="shared" si="149"/>
        <v>33.805917159763318</v>
      </c>
      <c r="CE245" s="235">
        <v>30</v>
      </c>
      <c r="CF245" s="214">
        <f t="shared" si="125"/>
        <v>27.552083333333336</v>
      </c>
      <c r="CG245" s="221">
        <f t="shared" si="127"/>
        <v>24.728185595567869</v>
      </c>
      <c r="CH245" s="214">
        <f t="shared" si="148"/>
        <v>19.768858131487889</v>
      </c>
      <c r="CI245" s="221">
        <f t="shared" si="150"/>
        <v>16.875000000000007</v>
      </c>
      <c r="CJ245" s="214">
        <f t="shared" si="136"/>
        <v>14.573002754820939</v>
      </c>
      <c r="CK245" s="180">
        <f t="shared" si="137"/>
        <v>13.205436390532542</v>
      </c>
      <c r="CL245" s="181">
        <f t="shared" si="140"/>
        <v>9.9187500000000011</v>
      </c>
      <c r="CM245" s="180">
        <f t="shared" si="144"/>
        <v>7.5000000000000231</v>
      </c>
    </row>
    <row r="246" spans="1:91" ht="10.5" customHeight="1">
      <c r="A246" s="179" t="str">
        <f t="shared" si="119"/>
        <v/>
      </c>
      <c r="B246" s="213">
        <v>3.5</v>
      </c>
      <c r="C246" s="212"/>
      <c r="D246" s="212"/>
      <c r="E246" s="212"/>
      <c r="F246" s="212"/>
      <c r="G246" s="212"/>
      <c r="H246" s="211"/>
      <c r="I246" s="210"/>
      <c r="J246" s="210"/>
      <c r="K246" s="210"/>
      <c r="L246" s="210"/>
      <c r="M246" s="210"/>
      <c r="N246" s="210"/>
      <c r="O246" s="210"/>
      <c r="P246" s="210"/>
      <c r="Q246" s="210"/>
      <c r="R246" s="210"/>
      <c r="S246" s="209"/>
      <c r="T246" s="207"/>
      <c r="U246" s="209"/>
      <c r="V246" s="207"/>
      <c r="W246" s="206"/>
      <c r="X246" s="206"/>
      <c r="Y246" s="207"/>
      <c r="Z246" s="206"/>
      <c r="AA246" s="206"/>
      <c r="AB246" s="207"/>
      <c r="AC246" s="206"/>
      <c r="AD246" s="206"/>
      <c r="AE246" s="207"/>
      <c r="AF246" s="206"/>
      <c r="AG246" s="206"/>
      <c r="AH246" s="208"/>
      <c r="AI246" s="206"/>
      <c r="AJ246" s="206"/>
      <c r="AK246" s="207"/>
      <c r="AL246" s="206"/>
      <c r="AM246" s="206"/>
      <c r="AN246" s="207"/>
      <c r="AO246" s="206"/>
      <c r="AP246" s="206"/>
      <c r="AQ246" s="207"/>
      <c r="AR246" s="206"/>
      <c r="AS246" s="206"/>
      <c r="AT246" s="207"/>
      <c r="AU246" s="206"/>
      <c r="AV246" s="206"/>
      <c r="AW246" s="207"/>
      <c r="AX246" s="206"/>
      <c r="AY246" s="206"/>
      <c r="AZ246" s="207"/>
      <c r="BA246" s="206"/>
      <c r="BB246" s="207"/>
      <c r="BC246" s="206"/>
      <c r="BD246" s="206"/>
      <c r="BE246" s="207"/>
      <c r="BF246" s="206"/>
      <c r="BG246" s="206"/>
      <c r="BH246" s="207"/>
      <c r="BI246" s="206"/>
      <c r="BJ246" s="206"/>
      <c r="BK246" s="207"/>
      <c r="BL246" s="206"/>
      <c r="BM246" s="206"/>
      <c r="BN246" s="207"/>
      <c r="BO246" s="206"/>
      <c r="BP246" s="207"/>
      <c r="BQ246" s="206"/>
      <c r="BR246" s="206"/>
      <c r="BS246" s="207"/>
      <c r="BT246" s="206"/>
      <c r="BU246" s="207"/>
      <c r="BV246" s="206"/>
      <c r="BW246" s="216"/>
      <c r="BX246" s="219">
        <f t="shared" si="141"/>
        <v>66.545948392937973</v>
      </c>
      <c r="BY246" s="225">
        <f t="shared" si="142"/>
        <v>58.79999999999999</v>
      </c>
      <c r="BZ246" s="219">
        <f t="shared" si="143"/>
        <v>54.363905325443781</v>
      </c>
      <c r="CA246" s="225">
        <f t="shared" si="145"/>
        <v>50.411522633744852</v>
      </c>
      <c r="CB246" s="219">
        <f t="shared" si="146"/>
        <v>45.244690674053558</v>
      </c>
      <c r="CC246" s="225">
        <f t="shared" si="147"/>
        <v>42.229244469979882</v>
      </c>
      <c r="CD246" s="219">
        <f t="shared" si="149"/>
        <v>34.792899408284022</v>
      </c>
      <c r="CE246" s="225">
        <f t="shared" ref="CE246:CE279" si="151" xml:space="preserve"> 30*(B246/B$245)^2</f>
        <v>30.875866414618766</v>
      </c>
      <c r="CF246" s="219">
        <f t="shared" si="125"/>
        <v>28.356481481481481</v>
      </c>
      <c r="CG246" s="225">
        <f t="shared" si="127"/>
        <v>25.450138504155131</v>
      </c>
      <c r="CH246" s="219">
        <f t="shared" si="148"/>
        <v>20.346020761245672</v>
      </c>
      <c r="CI246" s="225">
        <f t="shared" si="150"/>
        <v>17.367674858223062</v>
      </c>
      <c r="CJ246" s="219">
        <f t="shared" si="136"/>
        <v>14.998469543924088</v>
      </c>
      <c r="CK246" s="202">
        <f t="shared" si="137"/>
        <v>13.590976331360945</v>
      </c>
      <c r="CL246" s="203">
        <f t="shared" si="140"/>
        <v>10.208333333333336</v>
      </c>
      <c r="CM246" s="202">
        <f t="shared" si="144"/>
        <v>7.7189666036547182</v>
      </c>
    </row>
    <row r="247" spans="1:91" ht="10.5" customHeight="1">
      <c r="A247" s="179" t="str">
        <f t="shared" si="119"/>
        <v/>
      </c>
      <c r="B247" s="201">
        <v>3.55</v>
      </c>
      <c r="C247" s="200"/>
      <c r="D247" s="200"/>
      <c r="E247" s="200"/>
      <c r="F247" s="200"/>
      <c r="G247" s="200"/>
      <c r="H247" s="199"/>
      <c r="I247" s="198"/>
      <c r="J247" s="198"/>
      <c r="K247" s="198"/>
      <c r="L247" s="198"/>
      <c r="M247" s="198"/>
      <c r="N247" s="198"/>
      <c r="O247" s="198"/>
      <c r="P247" s="198"/>
      <c r="Q247" s="198"/>
      <c r="R247" s="198"/>
      <c r="S247" s="197"/>
      <c r="T247" s="194"/>
      <c r="U247" s="197"/>
      <c r="V247" s="194"/>
      <c r="W247" s="195"/>
      <c r="X247" s="195"/>
      <c r="Y247" s="194"/>
      <c r="Z247" s="195"/>
      <c r="AA247" s="195"/>
      <c r="AB247" s="194"/>
      <c r="AC247" s="195"/>
      <c r="AD247" s="195"/>
      <c r="AE247" s="194"/>
      <c r="AF247" s="195"/>
      <c r="AG247" s="195"/>
      <c r="AH247" s="196"/>
      <c r="AI247" s="195"/>
      <c r="AJ247" s="195"/>
      <c r="AK247" s="194"/>
      <c r="AL247" s="195"/>
      <c r="AM247" s="195"/>
      <c r="AN247" s="194"/>
      <c r="AO247" s="195"/>
      <c r="AP247" s="195"/>
      <c r="AQ247" s="194"/>
      <c r="AR247" s="195"/>
      <c r="AS247" s="195"/>
      <c r="AT247" s="194"/>
      <c r="AU247" s="195"/>
      <c r="AV247" s="195"/>
      <c r="AW247" s="194"/>
      <c r="AX247" s="195"/>
      <c r="AY247" s="195"/>
      <c r="AZ247" s="194"/>
      <c r="BA247" s="195"/>
      <c r="BB247" s="194"/>
      <c r="BC247" s="195"/>
      <c r="BD247" s="195"/>
      <c r="BE247" s="194"/>
      <c r="BF247" s="195"/>
      <c r="BG247" s="195"/>
      <c r="BH247" s="194"/>
      <c r="BI247" s="195"/>
      <c r="BJ247" s="195"/>
      <c r="BK247" s="194"/>
      <c r="BL247" s="195"/>
      <c r="BM247" s="195"/>
      <c r="BN247" s="194"/>
      <c r="BO247" s="195"/>
      <c r="BP247" s="194"/>
      <c r="BQ247" s="195"/>
      <c r="BR247" s="195"/>
      <c r="BS247" s="194"/>
      <c r="BT247" s="195"/>
      <c r="BU247" s="194"/>
      <c r="BV247" s="195"/>
      <c r="BW247" s="218"/>
      <c r="BX247" s="217">
        <f t="shared" si="141"/>
        <v>68.460842009959237</v>
      </c>
      <c r="BY247" s="223">
        <f t="shared" si="142"/>
        <v>60.491999999999997</v>
      </c>
      <c r="BZ247" s="217">
        <f t="shared" si="143"/>
        <v>55.928254437869811</v>
      </c>
      <c r="CA247" s="223">
        <f t="shared" si="145"/>
        <v>51.862139917695458</v>
      </c>
      <c r="CB247" s="217">
        <f t="shared" si="146"/>
        <v>46.546629732225291</v>
      </c>
      <c r="CC247" s="223">
        <f t="shared" si="147"/>
        <v>43.44441252513645</v>
      </c>
      <c r="CD247" s="217">
        <f t="shared" si="149"/>
        <v>35.794082840236676</v>
      </c>
      <c r="CE247" s="223">
        <f t="shared" si="151"/>
        <v>31.764335223692498</v>
      </c>
      <c r="CF247" s="217">
        <f t="shared" si="125"/>
        <v>29.172453703703702</v>
      </c>
      <c r="CG247" s="223">
        <f t="shared" si="127"/>
        <v>26.182479224376731</v>
      </c>
      <c r="CH247" s="217">
        <f t="shared" si="148"/>
        <v>20.931487889273352</v>
      </c>
      <c r="CI247" s="223">
        <f t="shared" si="150"/>
        <v>17.867438563327031</v>
      </c>
      <c r="CJ247" s="217">
        <f t="shared" ref="CJ247:CJ274" si="152" xml:space="preserve"> 30*(B247/B$275)^2</f>
        <v>15.430058157330883</v>
      </c>
      <c r="CK247" s="191">
        <f t="shared" si="137"/>
        <v>13.982063609467453</v>
      </c>
      <c r="CL247" s="192">
        <f t="shared" si="140"/>
        <v>10.502083333333333</v>
      </c>
      <c r="CM247" s="191">
        <f t="shared" si="144"/>
        <v>7.9410838059231477</v>
      </c>
    </row>
    <row r="248" spans="1:91" ht="10.5" customHeight="1" thickBot="1">
      <c r="A248" s="179" t="str">
        <f t="shared" si="119"/>
        <v/>
      </c>
      <c r="B248" s="190">
        <v>3.6</v>
      </c>
      <c r="C248" s="189"/>
      <c r="D248" s="189"/>
      <c r="E248" s="189"/>
      <c r="F248" s="189"/>
      <c r="G248" s="189"/>
      <c r="H248" s="188"/>
      <c r="I248" s="187"/>
      <c r="J248" s="187"/>
      <c r="K248" s="187"/>
      <c r="L248" s="187"/>
      <c r="M248" s="187"/>
      <c r="N248" s="187"/>
      <c r="O248" s="187"/>
      <c r="P248" s="187"/>
      <c r="Q248" s="187"/>
      <c r="R248" s="187"/>
      <c r="S248" s="186"/>
      <c r="T248" s="183"/>
      <c r="U248" s="186"/>
      <c r="V248" s="183"/>
      <c r="W248" s="184"/>
      <c r="X248" s="184"/>
      <c r="Y248" s="183"/>
      <c r="Z248" s="184"/>
      <c r="AA248" s="184"/>
      <c r="AB248" s="183"/>
      <c r="AC248" s="184"/>
      <c r="AD248" s="184"/>
      <c r="AE248" s="183"/>
      <c r="AF248" s="184"/>
      <c r="AG248" s="184"/>
      <c r="AH248" s="185"/>
      <c r="AI248" s="184"/>
      <c r="AJ248" s="184"/>
      <c r="AK248" s="183"/>
      <c r="AL248" s="184"/>
      <c r="AM248" s="184"/>
      <c r="AN248" s="183"/>
      <c r="AO248" s="184"/>
      <c r="AP248" s="184"/>
      <c r="AQ248" s="183"/>
      <c r="AR248" s="184"/>
      <c r="AS248" s="184"/>
      <c r="AT248" s="183"/>
      <c r="AU248" s="184"/>
      <c r="AV248" s="184"/>
      <c r="AW248" s="183"/>
      <c r="AX248" s="184"/>
      <c r="AY248" s="184"/>
      <c r="AZ248" s="183"/>
      <c r="BA248" s="184"/>
      <c r="BB248" s="183"/>
      <c r="BC248" s="184"/>
      <c r="BD248" s="184"/>
      <c r="BE248" s="183"/>
      <c r="BF248" s="184"/>
      <c r="BG248" s="184"/>
      <c r="BH248" s="183"/>
      <c r="BI248" s="184"/>
      <c r="BJ248" s="184"/>
      <c r="BK248" s="183"/>
      <c r="BL248" s="184"/>
      <c r="BM248" s="184"/>
      <c r="BN248" s="183"/>
      <c r="BO248" s="184"/>
      <c r="BP248" s="183"/>
      <c r="BQ248" s="184"/>
      <c r="BR248" s="184"/>
      <c r="BS248" s="183"/>
      <c r="BT248" s="184"/>
      <c r="BU248" s="183"/>
      <c r="BV248" s="184"/>
      <c r="BW248" s="215"/>
      <c r="BX248" s="227">
        <f t="shared" si="141"/>
        <v>70.40289723856948</v>
      </c>
      <c r="BY248" s="221">
        <f t="shared" si="142"/>
        <v>62.207999999999998</v>
      </c>
      <c r="BZ248" s="214">
        <f t="shared" si="143"/>
        <v>57.514792899408278</v>
      </c>
      <c r="CA248" s="221">
        <f t="shared" si="145"/>
        <v>53.333333333333329</v>
      </c>
      <c r="CB248" s="214">
        <f t="shared" si="146"/>
        <v>47.86703601108033</v>
      </c>
      <c r="CC248" s="221">
        <f t="shared" si="147"/>
        <v>44.67681700660728</v>
      </c>
      <c r="CD248" s="214">
        <f t="shared" si="149"/>
        <v>36.809467455621309</v>
      </c>
      <c r="CE248" s="221">
        <f t="shared" si="151"/>
        <v>32.665406427221171</v>
      </c>
      <c r="CF248" s="237">
        <v>30</v>
      </c>
      <c r="CG248" s="221">
        <f t="shared" si="127"/>
        <v>26.925207756232691</v>
      </c>
      <c r="CH248" s="214">
        <f t="shared" si="148"/>
        <v>21.525259515570934</v>
      </c>
      <c r="CI248" s="221">
        <f t="shared" si="150"/>
        <v>18.374291115311912</v>
      </c>
      <c r="CJ248" s="214">
        <f t="shared" si="152"/>
        <v>15.867768595041323</v>
      </c>
      <c r="CK248" s="180">
        <f t="shared" si="137"/>
        <v>14.378698224852069</v>
      </c>
      <c r="CL248" s="181">
        <f t="shared" si="140"/>
        <v>10.799999999999999</v>
      </c>
      <c r="CM248" s="180">
        <f t="shared" si="144"/>
        <v>8.1663516068053177</v>
      </c>
    </row>
    <row r="249" spans="1:91" ht="10.5" customHeight="1">
      <c r="A249" s="179" t="str">
        <f t="shared" si="119"/>
        <v/>
      </c>
      <c r="B249" s="190">
        <v>3.65</v>
      </c>
      <c r="C249" s="189"/>
      <c r="D249" s="189"/>
      <c r="E249" s="189"/>
      <c r="F249" s="189"/>
      <c r="G249" s="189"/>
      <c r="H249" s="188"/>
      <c r="I249" s="187"/>
      <c r="J249" s="187"/>
      <c r="K249" s="187"/>
      <c r="L249" s="187"/>
      <c r="M249" s="187"/>
      <c r="N249" s="187"/>
      <c r="O249" s="187"/>
      <c r="P249" s="187"/>
      <c r="Q249" s="187"/>
      <c r="R249" s="187"/>
      <c r="S249" s="186"/>
      <c r="T249" s="183"/>
      <c r="U249" s="186"/>
      <c r="V249" s="183"/>
      <c r="W249" s="184"/>
      <c r="X249" s="184"/>
      <c r="Y249" s="183"/>
      <c r="Z249" s="184"/>
      <c r="AA249" s="184"/>
      <c r="AB249" s="183"/>
      <c r="AC249" s="184"/>
      <c r="AD249" s="184"/>
      <c r="AE249" s="183"/>
      <c r="AF249" s="184"/>
      <c r="AG249" s="184"/>
      <c r="AH249" s="185"/>
      <c r="AI249" s="184"/>
      <c r="AJ249" s="184"/>
      <c r="AK249" s="183"/>
      <c r="AL249" s="184"/>
      <c r="AM249" s="184"/>
      <c r="AN249" s="183"/>
      <c r="AO249" s="184"/>
      <c r="AP249" s="184"/>
      <c r="AQ249" s="183"/>
      <c r="AR249" s="184"/>
      <c r="AS249" s="184"/>
      <c r="AT249" s="183"/>
      <c r="AU249" s="184"/>
      <c r="AV249" s="184"/>
      <c r="AW249" s="183"/>
      <c r="AX249" s="184"/>
      <c r="AY249" s="184"/>
      <c r="AZ249" s="183"/>
      <c r="BA249" s="184"/>
      <c r="BB249" s="183"/>
      <c r="BC249" s="184"/>
      <c r="BD249" s="184"/>
      <c r="BE249" s="183"/>
      <c r="BF249" s="184"/>
      <c r="BG249" s="184"/>
      <c r="BH249" s="183"/>
      <c r="BI249" s="184"/>
      <c r="BJ249" s="184"/>
      <c r="BK249" s="183"/>
      <c r="BL249" s="184"/>
      <c r="BM249" s="184"/>
      <c r="BN249" s="183"/>
      <c r="BO249" s="184"/>
      <c r="BP249" s="183"/>
      <c r="BQ249" s="184"/>
      <c r="BR249" s="184"/>
      <c r="BS249" s="183"/>
      <c r="BT249" s="184"/>
      <c r="BU249" s="183"/>
      <c r="BV249" s="184"/>
      <c r="BW249" s="183"/>
      <c r="BX249" s="182"/>
      <c r="BY249" s="221">
        <f t="shared" si="142"/>
        <v>63.947999999999993</v>
      </c>
      <c r="BZ249" s="214">
        <f t="shared" si="143"/>
        <v>59.123520710059161</v>
      </c>
      <c r="CA249" s="221">
        <f t="shared" si="145"/>
        <v>54.825102880658413</v>
      </c>
      <c r="CB249" s="214">
        <f t="shared" si="146"/>
        <v>49.205909510618646</v>
      </c>
      <c r="CC249" s="221">
        <f t="shared" si="147"/>
        <v>45.926457914392401</v>
      </c>
      <c r="CD249" s="214">
        <f t="shared" si="149"/>
        <v>37.839053254437871</v>
      </c>
      <c r="CE249" s="221">
        <f t="shared" si="151"/>
        <v>33.579080025204775</v>
      </c>
      <c r="CF249" s="214">
        <f t="shared" ref="CF249:CF281" si="153" xml:space="preserve"> 30*(B249/B$248)^2</f>
        <v>30.839120370370367</v>
      </c>
      <c r="CG249" s="221">
        <f t="shared" si="127"/>
        <v>27.678324099722992</v>
      </c>
      <c r="CH249" s="214">
        <f t="shared" si="148"/>
        <v>22.127335640138408</v>
      </c>
      <c r="CI249" s="221">
        <f t="shared" si="150"/>
        <v>18.888232514177695</v>
      </c>
      <c r="CJ249" s="214">
        <f t="shared" si="152"/>
        <v>16.311600857055403</v>
      </c>
      <c r="CK249" s="180">
        <f t="shared" ref="CK249:CK277" si="154" xml:space="preserve"> 30*(B249/B$278)^2</f>
        <v>14.78088017751479</v>
      </c>
      <c r="CL249" s="181">
        <f t="shared" si="140"/>
        <v>11.102083333333331</v>
      </c>
      <c r="CM249" s="180">
        <f t="shared" si="144"/>
        <v>8.3947700063012221</v>
      </c>
    </row>
    <row r="250" spans="1:91" ht="10.5" customHeight="1">
      <c r="A250" s="179" t="str">
        <f t="shared" si="119"/>
        <v/>
      </c>
      <c r="B250" s="213">
        <v>3.7</v>
      </c>
      <c r="C250" s="212"/>
      <c r="D250" s="212"/>
      <c r="E250" s="212"/>
      <c r="F250" s="212"/>
      <c r="G250" s="212"/>
      <c r="H250" s="211"/>
      <c r="I250" s="210"/>
      <c r="J250" s="210"/>
      <c r="K250" s="210"/>
      <c r="L250" s="210"/>
      <c r="M250" s="210"/>
      <c r="N250" s="210"/>
      <c r="O250" s="210"/>
      <c r="P250" s="210"/>
      <c r="Q250" s="210"/>
      <c r="R250" s="210"/>
      <c r="S250" s="209"/>
      <c r="T250" s="207"/>
      <c r="U250" s="209"/>
      <c r="V250" s="207"/>
      <c r="W250" s="206"/>
      <c r="X250" s="206"/>
      <c r="Y250" s="207"/>
      <c r="Z250" s="206"/>
      <c r="AA250" s="206"/>
      <c r="AB250" s="207"/>
      <c r="AC250" s="206"/>
      <c r="AD250" s="206"/>
      <c r="AE250" s="207"/>
      <c r="AF250" s="206"/>
      <c r="AG250" s="206"/>
      <c r="AH250" s="208"/>
      <c r="AI250" s="206"/>
      <c r="AJ250" s="206"/>
      <c r="AK250" s="207"/>
      <c r="AL250" s="206"/>
      <c r="AM250" s="206"/>
      <c r="AN250" s="207"/>
      <c r="AO250" s="206"/>
      <c r="AP250" s="206"/>
      <c r="AQ250" s="207"/>
      <c r="AR250" s="206"/>
      <c r="AS250" s="206"/>
      <c r="AT250" s="207"/>
      <c r="AU250" s="206"/>
      <c r="AV250" s="206"/>
      <c r="AW250" s="207"/>
      <c r="AX250" s="206"/>
      <c r="AY250" s="206"/>
      <c r="AZ250" s="207"/>
      <c r="BA250" s="206"/>
      <c r="BB250" s="207"/>
      <c r="BC250" s="206"/>
      <c r="BD250" s="206"/>
      <c r="BE250" s="207"/>
      <c r="BF250" s="206"/>
      <c r="BG250" s="206"/>
      <c r="BH250" s="207"/>
      <c r="BI250" s="206"/>
      <c r="BJ250" s="206"/>
      <c r="BK250" s="207"/>
      <c r="BL250" s="206"/>
      <c r="BM250" s="206"/>
      <c r="BN250" s="207"/>
      <c r="BO250" s="206"/>
      <c r="BP250" s="207"/>
      <c r="BQ250" s="206"/>
      <c r="BR250" s="206"/>
      <c r="BS250" s="207"/>
      <c r="BT250" s="206"/>
      <c r="BU250" s="207"/>
      <c r="BV250" s="206"/>
      <c r="BW250" s="207"/>
      <c r="BX250" s="226"/>
      <c r="BY250" s="225">
        <f t="shared" si="142"/>
        <v>65.712000000000003</v>
      </c>
      <c r="BZ250" s="219">
        <f t="shared" si="143"/>
        <v>60.754437869822489</v>
      </c>
      <c r="CA250" s="225">
        <f t="shared" si="145"/>
        <v>56.337448559670769</v>
      </c>
      <c r="CB250" s="219">
        <f t="shared" si="146"/>
        <v>50.563250230840261</v>
      </c>
      <c r="CC250" s="225">
        <f t="shared" si="147"/>
        <v>47.193335248491813</v>
      </c>
      <c r="CD250" s="219">
        <f t="shared" si="149"/>
        <v>38.882840236686391</v>
      </c>
      <c r="CE250" s="225">
        <f t="shared" si="151"/>
        <v>34.505356017643358</v>
      </c>
      <c r="CF250" s="219">
        <f t="shared" si="153"/>
        <v>31.68981481481482</v>
      </c>
      <c r="CG250" s="225">
        <f t="shared" si="127"/>
        <v>28.441828254847653</v>
      </c>
      <c r="CH250" s="219">
        <f t="shared" si="148"/>
        <v>22.737716262975777</v>
      </c>
      <c r="CI250" s="225">
        <f t="shared" si="150"/>
        <v>19.409262759924392</v>
      </c>
      <c r="CJ250" s="219">
        <f t="shared" si="152"/>
        <v>16.761554943373127</v>
      </c>
      <c r="CK250" s="202">
        <f t="shared" si="154"/>
        <v>15.188609467455622</v>
      </c>
      <c r="CL250" s="203">
        <f t="shared" si="140"/>
        <v>11.408333333333335</v>
      </c>
      <c r="CM250" s="202">
        <f t="shared" si="144"/>
        <v>8.6263390044108643</v>
      </c>
    </row>
    <row r="251" spans="1:91" ht="10.5" customHeight="1">
      <c r="A251" s="179" t="str">
        <f t="shared" si="119"/>
        <v/>
      </c>
      <c r="B251" s="201">
        <v>3.75</v>
      </c>
      <c r="C251" s="200"/>
      <c r="D251" s="200"/>
      <c r="E251" s="200"/>
      <c r="F251" s="200"/>
      <c r="G251" s="200"/>
      <c r="H251" s="199"/>
      <c r="I251" s="198"/>
      <c r="J251" s="198"/>
      <c r="K251" s="198"/>
      <c r="L251" s="198"/>
      <c r="M251" s="198"/>
      <c r="N251" s="198"/>
      <c r="O251" s="198"/>
      <c r="P251" s="198"/>
      <c r="Q251" s="198"/>
      <c r="R251" s="198"/>
      <c r="S251" s="197"/>
      <c r="T251" s="194"/>
      <c r="U251" s="197"/>
      <c r="V251" s="194"/>
      <c r="W251" s="195"/>
      <c r="X251" s="195"/>
      <c r="Y251" s="194"/>
      <c r="Z251" s="195"/>
      <c r="AA251" s="195"/>
      <c r="AB251" s="194"/>
      <c r="AC251" s="195"/>
      <c r="AD251" s="195"/>
      <c r="AE251" s="194"/>
      <c r="AF251" s="195"/>
      <c r="AG251" s="195"/>
      <c r="AH251" s="196"/>
      <c r="AI251" s="195"/>
      <c r="AJ251" s="195"/>
      <c r="AK251" s="194"/>
      <c r="AL251" s="195"/>
      <c r="AM251" s="195"/>
      <c r="AN251" s="194"/>
      <c r="AO251" s="195"/>
      <c r="AP251" s="195"/>
      <c r="AQ251" s="194"/>
      <c r="AR251" s="195"/>
      <c r="AS251" s="195"/>
      <c r="AT251" s="194"/>
      <c r="AU251" s="195"/>
      <c r="AV251" s="195"/>
      <c r="AW251" s="194"/>
      <c r="AX251" s="195"/>
      <c r="AY251" s="195"/>
      <c r="AZ251" s="194"/>
      <c r="BA251" s="195"/>
      <c r="BB251" s="194"/>
      <c r="BC251" s="195"/>
      <c r="BD251" s="195"/>
      <c r="BE251" s="194"/>
      <c r="BF251" s="195"/>
      <c r="BG251" s="195"/>
      <c r="BH251" s="194"/>
      <c r="BI251" s="195"/>
      <c r="BJ251" s="195"/>
      <c r="BK251" s="194"/>
      <c r="BL251" s="195"/>
      <c r="BM251" s="195"/>
      <c r="BN251" s="194"/>
      <c r="BO251" s="195"/>
      <c r="BP251" s="194"/>
      <c r="BQ251" s="195"/>
      <c r="BR251" s="195"/>
      <c r="BS251" s="194"/>
      <c r="BT251" s="195"/>
      <c r="BU251" s="194"/>
      <c r="BV251" s="195"/>
      <c r="BW251" s="194"/>
      <c r="BX251" s="224"/>
      <c r="BY251" s="223">
        <f t="shared" si="142"/>
        <v>67.5</v>
      </c>
      <c r="BZ251" s="217">
        <f t="shared" si="143"/>
        <v>62.407544378698219</v>
      </c>
      <c r="CA251" s="223">
        <f t="shared" si="145"/>
        <v>57.870370370370367</v>
      </c>
      <c r="CB251" s="217">
        <f t="shared" si="146"/>
        <v>51.939058171745145</v>
      </c>
      <c r="CC251" s="223">
        <f t="shared" si="147"/>
        <v>48.477449008905481</v>
      </c>
      <c r="CD251" s="217">
        <f t="shared" si="149"/>
        <v>39.940828402366854</v>
      </c>
      <c r="CE251" s="223">
        <f t="shared" si="151"/>
        <v>35.444234404536857</v>
      </c>
      <c r="CF251" s="217">
        <f t="shared" si="153"/>
        <v>32.552083333333343</v>
      </c>
      <c r="CG251" s="223">
        <f t="shared" si="127"/>
        <v>29.215720221606652</v>
      </c>
      <c r="CH251" s="217">
        <f t="shared" si="148"/>
        <v>23.356401384083043</v>
      </c>
      <c r="CI251" s="223">
        <f t="shared" si="150"/>
        <v>19.937381852551987</v>
      </c>
      <c r="CJ251" s="217">
        <f t="shared" si="152"/>
        <v>17.217630853994489</v>
      </c>
      <c r="CK251" s="191">
        <f t="shared" si="154"/>
        <v>15.601886094674555</v>
      </c>
      <c r="CL251" s="192">
        <f t="shared" si="140"/>
        <v>11.71875</v>
      </c>
      <c r="CM251" s="191">
        <f t="shared" si="144"/>
        <v>8.8610586011342427</v>
      </c>
    </row>
    <row r="252" spans="1:91" ht="10.5" customHeight="1">
      <c r="A252" s="179" t="str">
        <f t="shared" si="119"/>
        <v/>
      </c>
      <c r="B252" s="190">
        <v>3.8</v>
      </c>
      <c r="C252" s="189"/>
      <c r="D252" s="189"/>
      <c r="E252" s="189"/>
      <c r="F252" s="189"/>
      <c r="G252" s="189"/>
      <c r="H252" s="188"/>
      <c r="I252" s="187"/>
      <c r="J252" s="187"/>
      <c r="K252" s="187"/>
      <c r="L252" s="187"/>
      <c r="M252" s="187"/>
      <c r="N252" s="187"/>
      <c r="O252" s="187"/>
      <c r="P252" s="187"/>
      <c r="Q252" s="187"/>
      <c r="R252" s="187"/>
      <c r="S252" s="186"/>
      <c r="T252" s="183"/>
      <c r="U252" s="186"/>
      <c r="V252" s="183"/>
      <c r="W252" s="184"/>
      <c r="X252" s="184"/>
      <c r="Y252" s="183"/>
      <c r="Z252" s="184"/>
      <c r="AA252" s="184"/>
      <c r="AB252" s="183"/>
      <c r="AC252" s="184"/>
      <c r="AD252" s="184"/>
      <c r="AE252" s="183"/>
      <c r="AF252" s="184"/>
      <c r="AG252" s="184"/>
      <c r="AH252" s="185"/>
      <c r="AI252" s="184"/>
      <c r="AJ252" s="184"/>
      <c r="AK252" s="183"/>
      <c r="AL252" s="184"/>
      <c r="AM252" s="184"/>
      <c r="AN252" s="183"/>
      <c r="AO252" s="184"/>
      <c r="AP252" s="184"/>
      <c r="AQ252" s="183"/>
      <c r="AR252" s="184"/>
      <c r="AS252" s="184"/>
      <c r="AT252" s="183"/>
      <c r="AU252" s="184"/>
      <c r="AV252" s="184"/>
      <c r="AW252" s="183"/>
      <c r="AX252" s="184"/>
      <c r="AY252" s="184"/>
      <c r="AZ252" s="183"/>
      <c r="BA252" s="184"/>
      <c r="BB252" s="183"/>
      <c r="BC252" s="184"/>
      <c r="BD252" s="184"/>
      <c r="BE252" s="183"/>
      <c r="BF252" s="184"/>
      <c r="BG252" s="184"/>
      <c r="BH252" s="183"/>
      <c r="BI252" s="184"/>
      <c r="BJ252" s="184"/>
      <c r="BK252" s="183"/>
      <c r="BL252" s="184"/>
      <c r="BM252" s="184"/>
      <c r="BN252" s="183"/>
      <c r="BO252" s="184"/>
      <c r="BP252" s="183"/>
      <c r="BQ252" s="184"/>
      <c r="BR252" s="184"/>
      <c r="BS252" s="183"/>
      <c r="BT252" s="184"/>
      <c r="BU252" s="183"/>
      <c r="BV252" s="184"/>
      <c r="BW252" s="183"/>
      <c r="BX252" s="182"/>
      <c r="BY252" s="221">
        <f t="shared" si="142"/>
        <v>69.311999999999998</v>
      </c>
      <c r="BZ252" s="214">
        <f t="shared" si="143"/>
        <v>64.08284023668638</v>
      </c>
      <c r="CA252" s="221">
        <f t="shared" si="145"/>
        <v>59.423868312757186</v>
      </c>
      <c r="CB252" s="214">
        <f t="shared" si="146"/>
        <v>53.333333333333329</v>
      </c>
      <c r="CC252" s="221">
        <f t="shared" si="147"/>
        <v>49.778799195633432</v>
      </c>
      <c r="CD252" s="214">
        <f t="shared" si="149"/>
        <v>41.013017751479282</v>
      </c>
      <c r="CE252" s="221">
        <f t="shared" si="151"/>
        <v>36.395715185885301</v>
      </c>
      <c r="CF252" s="214">
        <f t="shared" si="153"/>
        <v>33.425925925925931</v>
      </c>
      <c r="CG252" s="235">
        <v>30</v>
      </c>
      <c r="CH252" s="214">
        <f t="shared" si="148"/>
        <v>23.983391003460202</v>
      </c>
      <c r="CI252" s="221">
        <f t="shared" si="150"/>
        <v>20.472589792060489</v>
      </c>
      <c r="CJ252" s="214">
        <f t="shared" si="152"/>
        <v>17.679828588919495</v>
      </c>
      <c r="CK252" s="180">
        <f t="shared" si="154"/>
        <v>16.020710059171595</v>
      </c>
      <c r="CL252" s="181">
        <f t="shared" si="140"/>
        <v>12.033333333333333</v>
      </c>
      <c r="CM252" s="180">
        <f t="shared" si="144"/>
        <v>9.0989287964713554</v>
      </c>
    </row>
    <row r="253" spans="1:91" ht="10.5" customHeight="1" thickBot="1">
      <c r="A253" s="179" t="str">
        <f t="shared" si="119"/>
        <v/>
      </c>
      <c r="B253" s="190">
        <v>3.85</v>
      </c>
      <c r="C253" s="189"/>
      <c r="D253" s="189"/>
      <c r="E253" s="189"/>
      <c r="F253" s="189"/>
      <c r="G253" s="189"/>
      <c r="H253" s="188"/>
      <c r="I253" s="187"/>
      <c r="J253" s="187"/>
      <c r="K253" s="187"/>
      <c r="L253" s="187"/>
      <c r="M253" s="187"/>
      <c r="N253" s="187"/>
      <c r="O253" s="187"/>
      <c r="P253" s="187"/>
      <c r="Q253" s="187"/>
      <c r="R253" s="187"/>
      <c r="S253" s="186"/>
      <c r="T253" s="183"/>
      <c r="U253" s="186"/>
      <c r="V253" s="183"/>
      <c r="W253" s="184"/>
      <c r="X253" s="184"/>
      <c r="Y253" s="183"/>
      <c r="Z253" s="184"/>
      <c r="AA253" s="184"/>
      <c r="AB253" s="183"/>
      <c r="AC253" s="184"/>
      <c r="AD253" s="184"/>
      <c r="AE253" s="183"/>
      <c r="AF253" s="184"/>
      <c r="AG253" s="184"/>
      <c r="AH253" s="185"/>
      <c r="AI253" s="184"/>
      <c r="AJ253" s="184"/>
      <c r="AK253" s="183"/>
      <c r="AL253" s="184"/>
      <c r="AM253" s="184"/>
      <c r="AN253" s="183"/>
      <c r="AO253" s="184"/>
      <c r="AP253" s="184"/>
      <c r="AQ253" s="183"/>
      <c r="AR253" s="184"/>
      <c r="AS253" s="184"/>
      <c r="AT253" s="183"/>
      <c r="AU253" s="184"/>
      <c r="AV253" s="184"/>
      <c r="AW253" s="183"/>
      <c r="AX253" s="184"/>
      <c r="AY253" s="184"/>
      <c r="AZ253" s="183"/>
      <c r="BA253" s="184"/>
      <c r="BB253" s="183"/>
      <c r="BC253" s="184"/>
      <c r="BD253" s="184"/>
      <c r="BE253" s="183"/>
      <c r="BF253" s="184"/>
      <c r="BG253" s="184"/>
      <c r="BH253" s="183"/>
      <c r="BI253" s="184"/>
      <c r="BJ253" s="184"/>
      <c r="BK253" s="183"/>
      <c r="BL253" s="184"/>
      <c r="BM253" s="184"/>
      <c r="BN253" s="183"/>
      <c r="BO253" s="184"/>
      <c r="BP253" s="183"/>
      <c r="BQ253" s="184"/>
      <c r="BR253" s="184"/>
      <c r="BS253" s="183"/>
      <c r="BT253" s="184"/>
      <c r="BU253" s="183"/>
      <c r="BV253" s="184"/>
      <c r="BW253" s="183"/>
      <c r="BX253" s="182"/>
      <c r="BY253" s="220">
        <f t="shared" si="142"/>
        <v>71.147999999999996</v>
      </c>
      <c r="BZ253" s="214">
        <f t="shared" si="143"/>
        <v>65.780325443786992</v>
      </c>
      <c r="CA253" s="221">
        <f t="shared" si="145"/>
        <v>60.997942386831269</v>
      </c>
      <c r="CB253" s="214">
        <f t="shared" si="146"/>
        <v>54.746075715604796</v>
      </c>
      <c r="CC253" s="221">
        <f t="shared" si="147"/>
        <v>51.097385808675654</v>
      </c>
      <c r="CD253" s="214">
        <f t="shared" si="149"/>
        <v>42.099408284023667</v>
      </c>
      <c r="CE253" s="221">
        <f t="shared" si="151"/>
        <v>37.359798361688725</v>
      </c>
      <c r="CF253" s="214">
        <f t="shared" si="153"/>
        <v>34.311342592592595</v>
      </c>
      <c r="CG253" s="221">
        <f t="shared" ref="CG253:CG284" si="155" xml:space="preserve"> 30*(B253/B$252)^2</f>
        <v>30.794667590027711</v>
      </c>
      <c r="CH253" s="214">
        <f t="shared" si="148"/>
        <v>24.618685121107266</v>
      </c>
      <c r="CI253" s="221">
        <f t="shared" si="150"/>
        <v>21.014886578449907</v>
      </c>
      <c r="CJ253" s="214">
        <f t="shared" si="152"/>
        <v>18.148148148148149</v>
      </c>
      <c r="CK253" s="180">
        <f t="shared" si="154"/>
        <v>16.445081360946748</v>
      </c>
      <c r="CL253" s="181">
        <f t="shared" si="140"/>
        <v>12.352083333333336</v>
      </c>
      <c r="CM253" s="180">
        <f t="shared" si="144"/>
        <v>9.3399495904222061</v>
      </c>
    </row>
    <row r="254" spans="1:91" ht="10.5" customHeight="1">
      <c r="A254" s="179" t="str">
        <f t="shared" si="119"/>
        <v/>
      </c>
      <c r="B254" s="213">
        <v>3.9</v>
      </c>
      <c r="C254" s="212"/>
      <c r="D254" s="212"/>
      <c r="E254" s="212"/>
      <c r="F254" s="212"/>
      <c r="G254" s="212"/>
      <c r="H254" s="211"/>
      <c r="I254" s="210"/>
      <c r="J254" s="210"/>
      <c r="K254" s="210"/>
      <c r="L254" s="210"/>
      <c r="M254" s="210"/>
      <c r="N254" s="210"/>
      <c r="O254" s="210"/>
      <c r="P254" s="210"/>
      <c r="Q254" s="210"/>
      <c r="R254" s="210"/>
      <c r="S254" s="209"/>
      <c r="T254" s="207"/>
      <c r="U254" s="209"/>
      <c r="V254" s="207"/>
      <c r="W254" s="206"/>
      <c r="X254" s="206"/>
      <c r="Y254" s="207"/>
      <c r="Z254" s="206"/>
      <c r="AA254" s="206"/>
      <c r="AB254" s="207"/>
      <c r="AC254" s="206"/>
      <c r="AD254" s="206"/>
      <c r="AE254" s="207"/>
      <c r="AF254" s="206"/>
      <c r="AG254" s="206"/>
      <c r="AH254" s="208"/>
      <c r="AI254" s="206"/>
      <c r="AJ254" s="206"/>
      <c r="AK254" s="207"/>
      <c r="AL254" s="206"/>
      <c r="AM254" s="206"/>
      <c r="AN254" s="207"/>
      <c r="AO254" s="206"/>
      <c r="AP254" s="206"/>
      <c r="AQ254" s="207"/>
      <c r="AR254" s="206"/>
      <c r="AS254" s="206"/>
      <c r="AT254" s="207"/>
      <c r="AU254" s="206"/>
      <c r="AV254" s="206"/>
      <c r="AW254" s="207"/>
      <c r="AX254" s="206"/>
      <c r="AY254" s="206"/>
      <c r="AZ254" s="207"/>
      <c r="BA254" s="206"/>
      <c r="BB254" s="207"/>
      <c r="BC254" s="206"/>
      <c r="BD254" s="206"/>
      <c r="BE254" s="207"/>
      <c r="BF254" s="206"/>
      <c r="BG254" s="206"/>
      <c r="BH254" s="207"/>
      <c r="BI254" s="206"/>
      <c r="BJ254" s="206"/>
      <c r="BK254" s="207"/>
      <c r="BL254" s="206"/>
      <c r="BM254" s="206"/>
      <c r="BN254" s="207"/>
      <c r="BO254" s="206"/>
      <c r="BP254" s="207"/>
      <c r="BQ254" s="206"/>
      <c r="BR254" s="206"/>
      <c r="BS254" s="207"/>
      <c r="BT254" s="206"/>
      <c r="BU254" s="207"/>
      <c r="BV254" s="206"/>
      <c r="BW254" s="207"/>
      <c r="BX254" s="206"/>
      <c r="BY254" s="216"/>
      <c r="BZ254" s="219">
        <f t="shared" si="143"/>
        <v>67.5</v>
      </c>
      <c r="CA254" s="225">
        <f t="shared" si="145"/>
        <v>62.592592592592588</v>
      </c>
      <c r="CB254" s="219">
        <f t="shared" si="146"/>
        <v>56.177285318559562</v>
      </c>
      <c r="CC254" s="225">
        <f t="shared" si="147"/>
        <v>52.433208848032166</v>
      </c>
      <c r="CD254" s="219">
        <f t="shared" si="149"/>
        <v>43.199999999999996</v>
      </c>
      <c r="CE254" s="225">
        <f t="shared" si="151"/>
        <v>38.336483931947065</v>
      </c>
      <c r="CF254" s="219">
        <f t="shared" si="153"/>
        <v>35.208333333333329</v>
      </c>
      <c r="CG254" s="225">
        <f t="shared" si="155"/>
        <v>31.599722991689752</v>
      </c>
      <c r="CH254" s="219">
        <f t="shared" si="148"/>
        <v>25.262283737024219</v>
      </c>
      <c r="CI254" s="225">
        <f t="shared" si="150"/>
        <v>21.56427221172023</v>
      </c>
      <c r="CJ254" s="219">
        <f t="shared" si="152"/>
        <v>18.62258953168044</v>
      </c>
      <c r="CK254" s="202">
        <f t="shared" si="154"/>
        <v>16.875</v>
      </c>
      <c r="CL254" s="203">
        <f t="shared" si="140"/>
        <v>12.675000000000001</v>
      </c>
      <c r="CM254" s="202">
        <f t="shared" si="144"/>
        <v>9.5841209829867964</v>
      </c>
    </row>
    <row r="255" spans="1:91" ht="10.5" customHeight="1">
      <c r="A255" s="179" t="str">
        <f t="shared" si="119"/>
        <v/>
      </c>
      <c r="B255" s="201">
        <v>3.95</v>
      </c>
      <c r="C255" s="200"/>
      <c r="D255" s="200"/>
      <c r="E255" s="200"/>
      <c r="F255" s="200"/>
      <c r="G255" s="200"/>
      <c r="H255" s="199"/>
      <c r="I255" s="198"/>
      <c r="J255" s="198"/>
      <c r="K255" s="198"/>
      <c r="L255" s="198"/>
      <c r="M255" s="198"/>
      <c r="N255" s="198"/>
      <c r="O255" s="198"/>
      <c r="P255" s="198"/>
      <c r="Q255" s="198"/>
      <c r="R255" s="198"/>
      <c r="S255" s="197"/>
      <c r="T255" s="194"/>
      <c r="U255" s="197"/>
      <c r="V255" s="194"/>
      <c r="W255" s="195"/>
      <c r="X255" s="195"/>
      <c r="Y255" s="194"/>
      <c r="Z255" s="195"/>
      <c r="AA255" s="195"/>
      <c r="AB255" s="194"/>
      <c r="AC255" s="195"/>
      <c r="AD255" s="195"/>
      <c r="AE255" s="194"/>
      <c r="AF255" s="195"/>
      <c r="AG255" s="195"/>
      <c r="AH255" s="196"/>
      <c r="AI255" s="195"/>
      <c r="AJ255" s="195"/>
      <c r="AK255" s="194"/>
      <c r="AL255" s="195"/>
      <c r="AM255" s="195"/>
      <c r="AN255" s="194"/>
      <c r="AO255" s="195"/>
      <c r="AP255" s="195"/>
      <c r="AQ255" s="194"/>
      <c r="AR255" s="195"/>
      <c r="AS255" s="195"/>
      <c r="AT255" s="194"/>
      <c r="AU255" s="195"/>
      <c r="AV255" s="195"/>
      <c r="AW255" s="194"/>
      <c r="AX255" s="195"/>
      <c r="AY255" s="195"/>
      <c r="AZ255" s="194"/>
      <c r="BA255" s="195"/>
      <c r="BB255" s="194"/>
      <c r="BC255" s="195"/>
      <c r="BD255" s="195"/>
      <c r="BE255" s="194"/>
      <c r="BF255" s="195"/>
      <c r="BG255" s="195"/>
      <c r="BH255" s="194"/>
      <c r="BI255" s="195"/>
      <c r="BJ255" s="195"/>
      <c r="BK255" s="194"/>
      <c r="BL255" s="195"/>
      <c r="BM255" s="195"/>
      <c r="BN255" s="194"/>
      <c r="BO255" s="195"/>
      <c r="BP255" s="194"/>
      <c r="BQ255" s="195"/>
      <c r="BR255" s="195"/>
      <c r="BS255" s="194"/>
      <c r="BT255" s="195"/>
      <c r="BU255" s="194"/>
      <c r="BV255" s="195"/>
      <c r="BW255" s="194"/>
      <c r="BX255" s="195"/>
      <c r="BY255" s="218"/>
      <c r="BZ255" s="217">
        <f t="shared" si="143"/>
        <v>69.241863905325431</v>
      </c>
      <c r="CA255" s="223">
        <f t="shared" si="145"/>
        <v>64.207818930041157</v>
      </c>
      <c r="CB255" s="217">
        <f t="shared" si="146"/>
        <v>57.626962142197605</v>
      </c>
      <c r="CC255" s="223">
        <f t="shared" si="147"/>
        <v>53.786268313702962</v>
      </c>
      <c r="CD255" s="217">
        <f t="shared" si="149"/>
        <v>44.314792899408296</v>
      </c>
      <c r="CE255" s="223">
        <f t="shared" si="151"/>
        <v>39.325771896660363</v>
      </c>
      <c r="CF255" s="217">
        <f t="shared" si="153"/>
        <v>36.116898148148152</v>
      </c>
      <c r="CG255" s="223">
        <f t="shared" si="155"/>
        <v>32.41516620498615</v>
      </c>
      <c r="CH255" s="217">
        <f t="shared" si="148"/>
        <v>25.914186851211074</v>
      </c>
      <c r="CI255" s="223">
        <f t="shared" si="150"/>
        <v>22.120746691871464</v>
      </c>
      <c r="CJ255" s="217">
        <f t="shared" si="152"/>
        <v>19.103152739516375</v>
      </c>
      <c r="CK255" s="191">
        <f t="shared" si="154"/>
        <v>17.310465976331358</v>
      </c>
      <c r="CL255" s="192">
        <f t="shared" ref="CL255:CL285" si="156" xml:space="preserve"> 30*(B255/B$286)^2</f>
        <v>13.002083333333333</v>
      </c>
      <c r="CM255" s="191">
        <f t="shared" si="144"/>
        <v>9.8314429741651228</v>
      </c>
    </row>
    <row r="256" spans="1:91" ht="10.5" customHeight="1" thickBot="1">
      <c r="A256" s="179" t="str">
        <f t="shared" si="119"/>
        <v/>
      </c>
      <c r="B256" s="190">
        <v>4</v>
      </c>
      <c r="C256" s="189"/>
      <c r="D256" s="189"/>
      <c r="E256" s="189"/>
      <c r="F256" s="189"/>
      <c r="G256" s="189"/>
      <c r="H256" s="188"/>
      <c r="I256" s="187"/>
      <c r="J256" s="187"/>
      <c r="K256" s="187"/>
      <c r="L256" s="187"/>
      <c r="M256" s="187"/>
      <c r="N256" s="187"/>
      <c r="O256" s="187"/>
      <c r="P256" s="187"/>
      <c r="Q256" s="187"/>
      <c r="R256" s="187"/>
      <c r="S256" s="186"/>
      <c r="T256" s="183"/>
      <c r="U256" s="186"/>
      <c r="V256" s="183"/>
      <c r="W256" s="184"/>
      <c r="X256" s="184"/>
      <c r="Y256" s="183"/>
      <c r="Z256" s="184"/>
      <c r="AA256" s="184"/>
      <c r="AB256" s="183"/>
      <c r="AC256" s="184"/>
      <c r="AD256" s="184"/>
      <c r="AE256" s="183"/>
      <c r="AF256" s="184"/>
      <c r="AG256" s="184"/>
      <c r="AH256" s="185"/>
      <c r="AI256" s="184"/>
      <c r="AJ256" s="184"/>
      <c r="AK256" s="183"/>
      <c r="AL256" s="184"/>
      <c r="AM256" s="184"/>
      <c r="AN256" s="183"/>
      <c r="AO256" s="184"/>
      <c r="AP256" s="184"/>
      <c r="AQ256" s="183"/>
      <c r="AR256" s="184"/>
      <c r="AS256" s="184"/>
      <c r="AT256" s="183"/>
      <c r="AU256" s="184"/>
      <c r="AV256" s="184"/>
      <c r="AW256" s="183"/>
      <c r="AX256" s="184"/>
      <c r="AY256" s="184"/>
      <c r="AZ256" s="183"/>
      <c r="BA256" s="184"/>
      <c r="BB256" s="183"/>
      <c r="BC256" s="184"/>
      <c r="BD256" s="184"/>
      <c r="BE256" s="183"/>
      <c r="BF256" s="184"/>
      <c r="BG256" s="184"/>
      <c r="BH256" s="183"/>
      <c r="BI256" s="184"/>
      <c r="BJ256" s="184"/>
      <c r="BK256" s="183"/>
      <c r="BL256" s="184"/>
      <c r="BM256" s="184"/>
      <c r="BN256" s="183"/>
      <c r="BO256" s="184"/>
      <c r="BP256" s="183"/>
      <c r="BQ256" s="184"/>
      <c r="BR256" s="184"/>
      <c r="BS256" s="183"/>
      <c r="BT256" s="184"/>
      <c r="BU256" s="183"/>
      <c r="BV256" s="184"/>
      <c r="BW256" s="183"/>
      <c r="BX256" s="184"/>
      <c r="BY256" s="216"/>
      <c r="BZ256" s="227">
        <f t="shared" si="143"/>
        <v>71.0059171597633</v>
      </c>
      <c r="CA256" s="221">
        <f t="shared" si="145"/>
        <v>65.843621399176939</v>
      </c>
      <c r="CB256" s="214">
        <f t="shared" si="146"/>
        <v>59.095106186518926</v>
      </c>
      <c r="CC256" s="221">
        <f t="shared" si="147"/>
        <v>55.156564205688014</v>
      </c>
      <c r="CD256" s="214">
        <f t="shared" si="149"/>
        <v>45.443786982248525</v>
      </c>
      <c r="CE256" s="221">
        <f t="shared" si="151"/>
        <v>40.327662255828614</v>
      </c>
      <c r="CF256" s="214">
        <f t="shared" si="153"/>
        <v>37.037037037037038</v>
      </c>
      <c r="CG256" s="221">
        <f t="shared" si="155"/>
        <v>33.240997229916893</v>
      </c>
      <c r="CH256" s="214">
        <f t="shared" si="148"/>
        <v>26.574394463667822</v>
      </c>
      <c r="CI256" s="221">
        <f t="shared" si="150"/>
        <v>22.684310018903595</v>
      </c>
      <c r="CJ256" s="214">
        <f t="shared" si="152"/>
        <v>19.589837771655951</v>
      </c>
      <c r="CK256" s="180">
        <f t="shared" si="154"/>
        <v>17.751479289940825</v>
      </c>
      <c r="CL256" s="181">
        <f t="shared" si="156"/>
        <v>13.333333333333332</v>
      </c>
      <c r="CM256" s="180">
        <f t="shared" si="144"/>
        <v>10.081915563957184</v>
      </c>
    </row>
    <row r="257" spans="1:91" ht="10.5" customHeight="1">
      <c r="A257" s="179" t="str">
        <f t="shared" si="119"/>
        <v/>
      </c>
      <c r="B257" s="190">
        <v>4.05</v>
      </c>
      <c r="C257" s="189"/>
      <c r="D257" s="189"/>
      <c r="E257" s="189"/>
      <c r="F257" s="189"/>
      <c r="G257" s="189"/>
      <c r="H257" s="188"/>
      <c r="I257" s="187"/>
      <c r="J257" s="187"/>
      <c r="K257" s="187"/>
      <c r="L257" s="187"/>
      <c r="M257" s="187"/>
      <c r="N257" s="187"/>
      <c r="O257" s="187"/>
      <c r="P257" s="187"/>
      <c r="Q257" s="187"/>
      <c r="R257" s="187"/>
      <c r="S257" s="186"/>
      <c r="T257" s="183"/>
      <c r="U257" s="186"/>
      <c r="V257" s="183"/>
      <c r="W257" s="184"/>
      <c r="X257" s="184"/>
      <c r="Y257" s="183"/>
      <c r="Z257" s="184"/>
      <c r="AA257" s="184"/>
      <c r="AB257" s="183"/>
      <c r="AC257" s="184"/>
      <c r="AD257" s="184"/>
      <c r="AE257" s="183"/>
      <c r="AF257" s="184"/>
      <c r="AG257" s="184"/>
      <c r="AH257" s="185"/>
      <c r="AI257" s="184"/>
      <c r="AJ257" s="184"/>
      <c r="AK257" s="183"/>
      <c r="AL257" s="184"/>
      <c r="AM257" s="184"/>
      <c r="AN257" s="183"/>
      <c r="AO257" s="184"/>
      <c r="AP257" s="184"/>
      <c r="AQ257" s="183"/>
      <c r="AR257" s="184"/>
      <c r="AS257" s="184"/>
      <c r="AT257" s="183"/>
      <c r="AU257" s="184"/>
      <c r="AV257" s="184"/>
      <c r="AW257" s="183"/>
      <c r="AX257" s="184"/>
      <c r="AY257" s="184"/>
      <c r="AZ257" s="183"/>
      <c r="BA257" s="184"/>
      <c r="BB257" s="183"/>
      <c r="BC257" s="184"/>
      <c r="BD257" s="184"/>
      <c r="BE257" s="183"/>
      <c r="BF257" s="184"/>
      <c r="BG257" s="184"/>
      <c r="BH257" s="183"/>
      <c r="BI257" s="184"/>
      <c r="BJ257" s="184"/>
      <c r="BK257" s="183"/>
      <c r="BL257" s="184"/>
      <c r="BM257" s="184"/>
      <c r="BN257" s="183"/>
      <c r="BO257" s="184"/>
      <c r="BP257" s="183"/>
      <c r="BQ257" s="184"/>
      <c r="BR257" s="184"/>
      <c r="BS257" s="183"/>
      <c r="BT257" s="184"/>
      <c r="BU257" s="183"/>
      <c r="BV257" s="184"/>
      <c r="BW257" s="183"/>
      <c r="BX257" s="184"/>
      <c r="BY257" s="183"/>
      <c r="BZ257" s="232"/>
      <c r="CA257" s="221">
        <f t="shared" si="145"/>
        <v>67.499999999999972</v>
      </c>
      <c r="CB257" s="214">
        <f t="shared" si="146"/>
        <v>60.581717451523545</v>
      </c>
      <c r="CC257" s="221">
        <f t="shared" si="147"/>
        <v>56.544096523987349</v>
      </c>
      <c r="CD257" s="214">
        <f t="shared" si="149"/>
        <v>46.586982248520712</v>
      </c>
      <c r="CE257" s="221">
        <f t="shared" si="151"/>
        <v>41.342155009451794</v>
      </c>
      <c r="CF257" s="214">
        <f t="shared" si="153"/>
        <v>37.96875</v>
      </c>
      <c r="CG257" s="221">
        <f t="shared" si="155"/>
        <v>34.077216066482002</v>
      </c>
      <c r="CH257" s="214">
        <f t="shared" si="148"/>
        <v>27.242906574394461</v>
      </c>
      <c r="CI257" s="221">
        <f t="shared" si="150"/>
        <v>23.254962192816635</v>
      </c>
      <c r="CJ257" s="214">
        <f t="shared" si="152"/>
        <v>20.082644628099171</v>
      </c>
      <c r="CK257" s="180">
        <f t="shared" si="154"/>
        <v>18.198039940828398</v>
      </c>
      <c r="CL257" s="181">
        <f t="shared" si="156"/>
        <v>13.668749999999998</v>
      </c>
      <c r="CM257" s="180">
        <f t="shared" si="144"/>
        <v>10.335538752362977</v>
      </c>
    </row>
    <row r="258" spans="1:91" ht="10.5" customHeight="1">
      <c r="A258" s="179" t="str">
        <f t="shared" si="119"/>
        <v/>
      </c>
      <c r="B258" s="213">
        <v>4.0999999999999996</v>
      </c>
      <c r="C258" s="212"/>
      <c r="D258" s="212"/>
      <c r="E258" s="212"/>
      <c r="F258" s="212"/>
      <c r="G258" s="212"/>
      <c r="H258" s="211"/>
      <c r="I258" s="210"/>
      <c r="J258" s="210"/>
      <c r="K258" s="210"/>
      <c r="L258" s="210"/>
      <c r="M258" s="210"/>
      <c r="N258" s="210"/>
      <c r="O258" s="210"/>
      <c r="P258" s="210"/>
      <c r="Q258" s="210"/>
      <c r="R258" s="210"/>
      <c r="S258" s="209"/>
      <c r="T258" s="207"/>
      <c r="U258" s="209"/>
      <c r="V258" s="207"/>
      <c r="W258" s="206"/>
      <c r="X258" s="206"/>
      <c r="Y258" s="207"/>
      <c r="Z258" s="206"/>
      <c r="AA258" s="206"/>
      <c r="AB258" s="207"/>
      <c r="AC258" s="206"/>
      <c r="AD258" s="206"/>
      <c r="AE258" s="207"/>
      <c r="AF258" s="206"/>
      <c r="AG258" s="206"/>
      <c r="AH258" s="208"/>
      <c r="AI258" s="206"/>
      <c r="AJ258" s="206"/>
      <c r="AK258" s="207"/>
      <c r="AL258" s="206"/>
      <c r="AM258" s="206"/>
      <c r="AN258" s="207"/>
      <c r="AO258" s="206"/>
      <c r="AP258" s="206"/>
      <c r="AQ258" s="207"/>
      <c r="AR258" s="206"/>
      <c r="AS258" s="206"/>
      <c r="AT258" s="207"/>
      <c r="AU258" s="206"/>
      <c r="AV258" s="206"/>
      <c r="AW258" s="207"/>
      <c r="AX258" s="206"/>
      <c r="AY258" s="206"/>
      <c r="AZ258" s="207"/>
      <c r="BA258" s="206"/>
      <c r="BB258" s="207"/>
      <c r="BC258" s="206"/>
      <c r="BD258" s="206"/>
      <c r="BE258" s="207"/>
      <c r="BF258" s="206"/>
      <c r="BG258" s="206"/>
      <c r="BH258" s="207"/>
      <c r="BI258" s="206"/>
      <c r="BJ258" s="206"/>
      <c r="BK258" s="207"/>
      <c r="BL258" s="206"/>
      <c r="BM258" s="206"/>
      <c r="BN258" s="207"/>
      <c r="BO258" s="206"/>
      <c r="BP258" s="207"/>
      <c r="BQ258" s="206"/>
      <c r="BR258" s="206"/>
      <c r="BS258" s="207"/>
      <c r="BT258" s="206"/>
      <c r="BU258" s="207"/>
      <c r="BV258" s="206"/>
      <c r="BW258" s="207"/>
      <c r="BX258" s="206"/>
      <c r="BY258" s="207"/>
      <c r="BZ258" s="226"/>
      <c r="CA258" s="225">
        <f t="shared" si="145"/>
        <v>69.176954732510282</v>
      </c>
      <c r="CB258" s="219">
        <f t="shared" si="146"/>
        <v>62.086795937211427</v>
      </c>
      <c r="CC258" s="225">
        <f t="shared" si="147"/>
        <v>57.948865268600962</v>
      </c>
      <c r="CD258" s="219">
        <f t="shared" si="149"/>
        <v>47.74437869822485</v>
      </c>
      <c r="CE258" s="225">
        <f t="shared" si="151"/>
        <v>42.369250157529912</v>
      </c>
      <c r="CF258" s="219">
        <f t="shared" si="153"/>
        <v>38.912037037037038</v>
      </c>
      <c r="CG258" s="225">
        <f t="shared" si="155"/>
        <v>34.923822714681442</v>
      </c>
      <c r="CH258" s="219">
        <f t="shared" si="148"/>
        <v>27.919723183390996</v>
      </c>
      <c r="CI258" s="225">
        <f t="shared" si="150"/>
        <v>23.832703213610586</v>
      </c>
      <c r="CJ258" s="219">
        <f t="shared" si="152"/>
        <v>20.581573308846032</v>
      </c>
      <c r="CK258" s="202">
        <f t="shared" si="154"/>
        <v>18.650147928994077</v>
      </c>
      <c r="CL258" s="203">
        <f t="shared" si="156"/>
        <v>14.008333333333329</v>
      </c>
      <c r="CM258" s="202">
        <f t="shared" si="144"/>
        <v>10.592312539382513</v>
      </c>
    </row>
    <row r="259" spans="1:91" ht="10.5" customHeight="1" thickBot="1">
      <c r="A259" s="179" t="str">
        <f t="shared" si="119"/>
        <v/>
      </c>
      <c r="B259" s="201">
        <v>4.1500000000000004</v>
      </c>
      <c r="C259" s="200"/>
      <c r="D259" s="200"/>
      <c r="E259" s="200"/>
      <c r="F259" s="200"/>
      <c r="G259" s="200"/>
      <c r="H259" s="199"/>
      <c r="I259" s="198"/>
      <c r="J259" s="198"/>
      <c r="K259" s="198"/>
      <c r="L259" s="198"/>
      <c r="M259" s="198"/>
      <c r="N259" s="198"/>
      <c r="O259" s="198"/>
      <c r="P259" s="198"/>
      <c r="Q259" s="198"/>
      <c r="R259" s="198"/>
      <c r="S259" s="197"/>
      <c r="T259" s="194"/>
      <c r="U259" s="197"/>
      <c r="V259" s="194"/>
      <c r="W259" s="195"/>
      <c r="X259" s="195"/>
      <c r="Y259" s="194"/>
      <c r="Z259" s="195"/>
      <c r="AA259" s="195"/>
      <c r="AB259" s="194"/>
      <c r="AC259" s="195"/>
      <c r="AD259" s="195"/>
      <c r="AE259" s="194"/>
      <c r="AF259" s="195"/>
      <c r="AG259" s="195"/>
      <c r="AH259" s="196"/>
      <c r="AI259" s="195"/>
      <c r="AJ259" s="195"/>
      <c r="AK259" s="194"/>
      <c r="AL259" s="195"/>
      <c r="AM259" s="195"/>
      <c r="AN259" s="194"/>
      <c r="AO259" s="195"/>
      <c r="AP259" s="195"/>
      <c r="AQ259" s="194"/>
      <c r="AR259" s="195"/>
      <c r="AS259" s="195"/>
      <c r="AT259" s="194"/>
      <c r="AU259" s="195"/>
      <c r="AV259" s="195"/>
      <c r="AW259" s="194"/>
      <c r="AX259" s="195"/>
      <c r="AY259" s="195"/>
      <c r="AZ259" s="194"/>
      <c r="BA259" s="195"/>
      <c r="BB259" s="194"/>
      <c r="BC259" s="195"/>
      <c r="BD259" s="195"/>
      <c r="BE259" s="194"/>
      <c r="BF259" s="195"/>
      <c r="BG259" s="195"/>
      <c r="BH259" s="194"/>
      <c r="BI259" s="195"/>
      <c r="BJ259" s="195"/>
      <c r="BK259" s="194"/>
      <c r="BL259" s="195"/>
      <c r="BM259" s="195"/>
      <c r="BN259" s="194"/>
      <c r="BO259" s="195"/>
      <c r="BP259" s="194"/>
      <c r="BQ259" s="195"/>
      <c r="BR259" s="195"/>
      <c r="BS259" s="194"/>
      <c r="BT259" s="195"/>
      <c r="BU259" s="194"/>
      <c r="BV259" s="195"/>
      <c r="BW259" s="194"/>
      <c r="BX259" s="195"/>
      <c r="BY259" s="194"/>
      <c r="BZ259" s="224"/>
      <c r="CA259" s="220">
        <f t="shared" si="145"/>
        <v>70.874485596707814</v>
      </c>
      <c r="CB259" s="217">
        <f t="shared" si="146"/>
        <v>63.61034164358265</v>
      </c>
      <c r="CC259" s="223">
        <f t="shared" si="147"/>
        <v>59.370870439528872</v>
      </c>
      <c r="CD259" s="217">
        <f t="shared" si="149"/>
        <v>48.915976331360959</v>
      </c>
      <c r="CE259" s="223">
        <f t="shared" si="151"/>
        <v>43.408947700063017</v>
      </c>
      <c r="CF259" s="217">
        <f t="shared" si="153"/>
        <v>39.866898148148159</v>
      </c>
      <c r="CG259" s="223">
        <f t="shared" si="155"/>
        <v>35.780817174515242</v>
      </c>
      <c r="CH259" s="217">
        <f t="shared" si="148"/>
        <v>28.604844290657443</v>
      </c>
      <c r="CI259" s="223">
        <f t="shared" si="150"/>
        <v>24.417533081285448</v>
      </c>
      <c r="CJ259" s="217">
        <f t="shared" si="152"/>
        <v>21.086623813896544</v>
      </c>
      <c r="CK259" s="191">
        <f t="shared" si="154"/>
        <v>19.107803254437872</v>
      </c>
      <c r="CL259" s="192">
        <f t="shared" si="156"/>
        <v>14.352083333333336</v>
      </c>
      <c r="CM259" s="191">
        <f t="shared" si="144"/>
        <v>10.852236925015784</v>
      </c>
    </row>
    <row r="260" spans="1:91" ht="10.5" customHeight="1">
      <c r="A260" s="179" t="str">
        <f t="shared" si="119"/>
        <v/>
      </c>
      <c r="B260" s="190">
        <v>4.2</v>
      </c>
      <c r="C260" s="189"/>
      <c r="D260" s="189"/>
      <c r="E260" s="189"/>
      <c r="F260" s="189"/>
      <c r="G260" s="189"/>
      <c r="H260" s="188"/>
      <c r="I260" s="187"/>
      <c r="J260" s="187"/>
      <c r="K260" s="187"/>
      <c r="L260" s="187"/>
      <c r="M260" s="187"/>
      <c r="N260" s="187"/>
      <c r="O260" s="187"/>
      <c r="P260" s="187"/>
      <c r="Q260" s="187"/>
      <c r="R260" s="187"/>
      <c r="S260" s="186"/>
      <c r="T260" s="183"/>
      <c r="U260" s="186"/>
      <c r="V260" s="183"/>
      <c r="W260" s="184"/>
      <c r="X260" s="184"/>
      <c r="Y260" s="183"/>
      <c r="Z260" s="184"/>
      <c r="AA260" s="184"/>
      <c r="AB260" s="183"/>
      <c r="AC260" s="184"/>
      <c r="AD260" s="184"/>
      <c r="AE260" s="183"/>
      <c r="AF260" s="184"/>
      <c r="AG260" s="184"/>
      <c r="AH260" s="185"/>
      <c r="AI260" s="184"/>
      <c r="AJ260" s="184"/>
      <c r="AK260" s="183"/>
      <c r="AL260" s="184"/>
      <c r="AM260" s="184"/>
      <c r="AN260" s="183"/>
      <c r="AO260" s="184"/>
      <c r="AP260" s="184"/>
      <c r="AQ260" s="183"/>
      <c r="AR260" s="184"/>
      <c r="AS260" s="184"/>
      <c r="AT260" s="183"/>
      <c r="AU260" s="184"/>
      <c r="AV260" s="184"/>
      <c r="AW260" s="183"/>
      <c r="AX260" s="184"/>
      <c r="AY260" s="184"/>
      <c r="AZ260" s="183"/>
      <c r="BA260" s="184"/>
      <c r="BB260" s="183"/>
      <c r="BC260" s="184"/>
      <c r="BD260" s="184"/>
      <c r="BE260" s="183"/>
      <c r="BF260" s="184"/>
      <c r="BG260" s="184"/>
      <c r="BH260" s="183"/>
      <c r="BI260" s="184"/>
      <c r="BJ260" s="184"/>
      <c r="BK260" s="183"/>
      <c r="BL260" s="184"/>
      <c r="BM260" s="184"/>
      <c r="BN260" s="183"/>
      <c r="BO260" s="184"/>
      <c r="BP260" s="183"/>
      <c r="BQ260" s="184"/>
      <c r="BR260" s="184"/>
      <c r="BS260" s="183"/>
      <c r="BT260" s="184"/>
      <c r="BU260" s="183"/>
      <c r="BV260" s="184"/>
      <c r="BW260" s="183"/>
      <c r="BX260" s="184"/>
      <c r="BY260" s="183"/>
      <c r="BZ260" s="184"/>
      <c r="CA260" s="216"/>
      <c r="CB260" s="214">
        <f t="shared" si="146"/>
        <v>65.152354570637115</v>
      </c>
      <c r="CC260" s="221">
        <f t="shared" si="147"/>
        <v>60.810112036771038</v>
      </c>
      <c r="CD260" s="214">
        <f t="shared" si="149"/>
        <v>50.101775147929004</v>
      </c>
      <c r="CE260" s="221">
        <f t="shared" si="151"/>
        <v>44.461247637051045</v>
      </c>
      <c r="CF260" s="214">
        <f t="shared" si="153"/>
        <v>40.833333333333343</v>
      </c>
      <c r="CG260" s="221">
        <f t="shared" si="155"/>
        <v>36.648199445983387</v>
      </c>
      <c r="CH260" s="214">
        <f t="shared" si="148"/>
        <v>29.298269896193776</v>
      </c>
      <c r="CI260" s="221">
        <f t="shared" si="150"/>
        <v>25.009451795841212</v>
      </c>
      <c r="CJ260" s="214">
        <f t="shared" si="152"/>
        <v>21.59779614325069</v>
      </c>
      <c r="CK260" s="180">
        <f t="shared" si="154"/>
        <v>19.571005917159766</v>
      </c>
      <c r="CL260" s="181">
        <f t="shared" si="156"/>
        <v>14.700000000000003</v>
      </c>
      <c r="CM260" s="180">
        <f t="shared" si="144"/>
        <v>11.115311909262795</v>
      </c>
    </row>
    <row r="261" spans="1:91" ht="10.5" customHeight="1">
      <c r="A261" s="179" t="str">
        <f t="shared" si="119"/>
        <v/>
      </c>
      <c r="B261" s="190">
        <v>4.25</v>
      </c>
      <c r="C261" s="189"/>
      <c r="D261" s="189"/>
      <c r="E261" s="189"/>
      <c r="F261" s="189"/>
      <c r="G261" s="189"/>
      <c r="H261" s="188"/>
      <c r="I261" s="187"/>
      <c r="J261" s="187"/>
      <c r="K261" s="187"/>
      <c r="L261" s="187"/>
      <c r="M261" s="187"/>
      <c r="N261" s="187"/>
      <c r="O261" s="187"/>
      <c r="P261" s="187"/>
      <c r="Q261" s="187"/>
      <c r="R261" s="187"/>
      <c r="S261" s="186"/>
      <c r="T261" s="183"/>
      <c r="U261" s="186"/>
      <c r="V261" s="183"/>
      <c r="W261" s="184"/>
      <c r="X261" s="184"/>
      <c r="Y261" s="183"/>
      <c r="Z261" s="184"/>
      <c r="AA261" s="184"/>
      <c r="AB261" s="183"/>
      <c r="AC261" s="184"/>
      <c r="AD261" s="184"/>
      <c r="AE261" s="183"/>
      <c r="AF261" s="184"/>
      <c r="AG261" s="184"/>
      <c r="AH261" s="185"/>
      <c r="AI261" s="184"/>
      <c r="AJ261" s="184"/>
      <c r="AK261" s="183"/>
      <c r="AL261" s="184"/>
      <c r="AM261" s="184"/>
      <c r="AN261" s="183"/>
      <c r="AO261" s="184"/>
      <c r="AP261" s="184"/>
      <c r="AQ261" s="183"/>
      <c r="AR261" s="184"/>
      <c r="AS261" s="184"/>
      <c r="AT261" s="183"/>
      <c r="AU261" s="184"/>
      <c r="AV261" s="184"/>
      <c r="AW261" s="183"/>
      <c r="AX261" s="184"/>
      <c r="AY261" s="184"/>
      <c r="AZ261" s="183"/>
      <c r="BA261" s="184"/>
      <c r="BB261" s="183"/>
      <c r="BC261" s="184"/>
      <c r="BD261" s="184"/>
      <c r="BE261" s="183"/>
      <c r="BF261" s="184"/>
      <c r="BG261" s="184"/>
      <c r="BH261" s="183"/>
      <c r="BI261" s="184"/>
      <c r="BJ261" s="184"/>
      <c r="BK261" s="183"/>
      <c r="BL261" s="184"/>
      <c r="BM261" s="184"/>
      <c r="BN261" s="183"/>
      <c r="BO261" s="184"/>
      <c r="BP261" s="183"/>
      <c r="BQ261" s="184"/>
      <c r="BR261" s="184"/>
      <c r="BS261" s="183"/>
      <c r="BT261" s="184"/>
      <c r="BU261" s="183"/>
      <c r="BV261" s="184"/>
      <c r="BW261" s="183"/>
      <c r="BX261" s="184"/>
      <c r="BY261" s="183"/>
      <c r="BZ261" s="184"/>
      <c r="CA261" s="215"/>
      <c r="CB261" s="214">
        <f t="shared" si="146"/>
        <v>66.712834718374879</v>
      </c>
      <c r="CC261" s="221">
        <f t="shared" si="147"/>
        <v>62.266590060327481</v>
      </c>
      <c r="CD261" s="214">
        <f t="shared" si="149"/>
        <v>51.301775147928993</v>
      </c>
      <c r="CE261" s="221">
        <f t="shared" si="151"/>
        <v>45.526149968494003</v>
      </c>
      <c r="CF261" s="214">
        <f t="shared" si="153"/>
        <v>41.811342592592595</v>
      </c>
      <c r="CG261" s="221">
        <f t="shared" si="155"/>
        <v>37.52596952908587</v>
      </c>
      <c r="CH261" s="237">
        <v>30</v>
      </c>
      <c r="CI261" s="221">
        <f t="shared" si="150"/>
        <v>25.608459357277891</v>
      </c>
      <c r="CJ261" s="214">
        <f t="shared" si="152"/>
        <v>22.115090296908477</v>
      </c>
      <c r="CK261" s="180">
        <f t="shared" si="154"/>
        <v>20.039755917159763</v>
      </c>
      <c r="CL261" s="181">
        <f t="shared" si="156"/>
        <v>15.052083333333336</v>
      </c>
      <c r="CM261" s="180">
        <f t="shared" si="144"/>
        <v>11.38153749212354</v>
      </c>
    </row>
    <row r="262" spans="1:91" ht="10.5" customHeight="1">
      <c r="A262" s="179" t="str">
        <f t="shared" si="119"/>
        <v/>
      </c>
      <c r="B262" s="213">
        <v>4.3</v>
      </c>
      <c r="C262" s="212"/>
      <c r="D262" s="212"/>
      <c r="E262" s="212"/>
      <c r="F262" s="212"/>
      <c r="G262" s="212"/>
      <c r="H262" s="211"/>
      <c r="I262" s="210"/>
      <c r="J262" s="210"/>
      <c r="K262" s="210"/>
      <c r="L262" s="210"/>
      <c r="M262" s="210"/>
      <c r="N262" s="210"/>
      <c r="O262" s="210"/>
      <c r="P262" s="210"/>
      <c r="Q262" s="210"/>
      <c r="R262" s="210"/>
      <c r="S262" s="209"/>
      <c r="T262" s="207"/>
      <c r="U262" s="209"/>
      <c r="V262" s="207"/>
      <c r="W262" s="206"/>
      <c r="X262" s="206"/>
      <c r="Y262" s="207"/>
      <c r="Z262" s="206"/>
      <c r="AA262" s="206"/>
      <c r="AB262" s="207"/>
      <c r="AC262" s="206"/>
      <c r="AD262" s="206"/>
      <c r="AE262" s="207"/>
      <c r="AF262" s="206"/>
      <c r="AG262" s="206"/>
      <c r="AH262" s="208"/>
      <c r="AI262" s="206"/>
      <c r="AJ262" s="206"/>
      <c r="AK262" s="207"/>
      <c r="AL262" s="206"/>
      <c r="AM262" s="206"/>
      <c r="AN262" s="207"/>
      <c r="AO262" s="206"/>
      <c r="AP262" s="206"/>
      <c r="AQ262" s="207"/>
      <c r="AR262" s="206"/>
      <c r="AS262" s="206"/>
      <c r="AT262" s="207"/>
      <c r="AU262" s="206"/>
      <c r="AV262" s="206"/>
      <c r="AW262" s="207"/>
      <c r="AX262" s="206"/>
      <c r="AY262" s="206"/>
      <c r="AZ262" s="207"/>
      <c r="BA262" s="206"/>
      <c r="BB262" s="207"/>
      <c r="BC262" s="206"/>
      <c r="BD262" s="206"/>
      <c r="BE262" s="207"/>
      <c r="BF262" s="206"/>
      <c r="BG262" s="206"/>
      <c r="BH262" s="207"/>
      <c r="BI262" s="206"/>
      <c r="BJ262" s="206"/>
      <c r="BK262" s="207"/>
      <c r="BL262" s="206"/>
      <c r="BM262" s="206"/>
      <c r="BN262" s="207"/>
      <c r="BO262" s="206"/>
      <c r="BP262" s="207"/>
      <c r="BQ262" s="206"/>
      <c r="BR262" s="206"/>
      <c r="BS262" s="207"/>
      <c r="BT262" s="206"/>
      <c r="BU262" s="207"/>
      <c r="BV262" s="206"/>
      <c r="BW262" s="207"/>
      <c r="BX262" s="206"/>
      <c r="BY262" s="207"/>
      <c r="BZ262" s="206"/>
      <c r="CA262" s="205"/>
      <c r="CB262" s="219">
        <f t="shared" si="146"/>
        <v>68.291782086795919</v>
      </c>
      <c r="CC262" s="225">
        <f t="shared" si="147"/>
        <v>63.740304510198207</v>
      </c>
      <c r="CD262" s="219">
        <f t="shared" si="149"/>
        <v>52.515976331360946</v>
      </c>
      <c r="CE262" s="225">
        <f t="shared" si="151"/>
        <v>46.603654694391935</v>
      </c>
      <c r="CF262" s="219">
        <f t="shared" si="153"/>
        <v>42.800925925925924</v>
      </c>
      <c r="CG262" s="225">
        <f t="shared" si="155"/>
        <v>38.414127423822713</v>
      </c>
      <c r="CH262" s="219">
        <f t="shared" ref="CH262:CH291" si="157" xml:space="preserve"> 30*(B262/B$261)^2</f>
        <v>30.710034602076121</v>
      </c>
      <c r="CI262" s="225">
        <f t="shared" si="150"/>
        <v>26.214555765595467</v>
      </c>
      <c r="CJ262" s="219">
        <f t="shared" si="152"/>
        <v>22.638506274869908</v>
      </c>
      <c r="CK262" s="202">
        <f t="shared" si="154"/>
        <v>20.514053254437869</v>
      </c>
      <c r="CL262" s="203">
        <f t="shared" si="156"/>
        <v>15.408333333333333</v>
      </c>
      <c r="CM262" s="202">
        <f t="shared" ref="CM262:CM294" si="158" xml:space="preserve"> 30*(B262/B$295)^2</f>
        <v>11.650913673598017</v>
      </c>
    </row>
    <row r="263" spans="1:91" ht="10.5" customHeight="1" thickBot="1">
      <c r="A263" s="179" t="str">
        <f t="shared" si="119"/>
        <v/>
      </c>
      <c r="B263" s="201">
        <v>4.3499999999999996</v>
      </c>
      <c r="C263" s="200"/>
      <c r="D263" s="200"/>
      <c r="E263" s="200"/>
      <c r="F263" s="200"/>
      <c r="G263" s="200"/>
      <c r="H263" s="199"/>
      <c r="I263" s="198"/>
      <c r="J263" s="198"/>
      <c r="K263" s="198"/>
      <c r="L263" s="198"/>
      <c r="M263" s="198"/>
      <c r="N263" s="198"/>
      <c r="O263" s="198"/>
      <c r="P263" s="198"/>
      <c r="Q263" s="198"/>
      <c r="R263" s="198"/>
      <c r="S263" s="197"/>
      <c r="T263" s="194"/>
      <c r="U263" s="197"/>
      <c r="V263" s="194"/>
      <c r="W263" s="195"/>
      <c r="X263" s="195"/>
      <c r="Y263" s="194"/>
      <c r="Z263" s="195"/>
      <c r="AA263" s="195"/>
      <c r="AB263" s="194"/>
      <c r="AC263" s="195"/>
      <c r="AD263" s="195"/>
      <c r="AE263" s="194"/>
      <c r="AF263" s="195"/>
      <c r="AG263" s="195"/>
      <c r="AH263" s="196"/>
      <c r="AI263" s="195"/>
      <c r="AJ263" s="195"/>
      <c r="AK263" s="194"/>
      <c r="AL263" s="195"/>
      <c r="AM263" s="195"/>
      <c r="AN263" s="194"/>
      <c r="AO263" s="195"/>
      <c r="AP263" s="195"/>
      <c r="AQ263" s="194"/>
      <c r="AR263" s="195"/>
      <c r="AS263" s="195"/>
      <c r="AT263" s="194"/>
      <c r="AU263" s="195"/>
      <c r="AV263" s="195"/>
      <c r="AW263" s="194"/>
      <c r="AX263" s="195"/>
      <c r="AY263" s="195"/>
      <c r="AZ263" s="194"/>
      <c r="BA263" s="195"/>
      <c r="BB263" s="194"/>
      <c r="BC263" s="195"/>
      <c r="BD263" s="195"/>
      <c r="BE263" s="194"/>
      <c r="BF263" s="195"/>
      <c r="BG263" s="195"/>
      <c r="BH263" s="194"/>
      <c r="BI263" s="195"/>
      <c r="BJ263" s="195"/>
      <c r="BK263" s="194"/>
      <c r="BL263" s="195"/>
      <c r="BM263" s="195"/>
      <c r="BN263" s="194"/>
      <c r="BO263" s="195"/>
      <c r="BP263" s="194"/>
      <c r="BQ263" s="195"/>
      <c r="BR263" s="195"/>
      <c r="BS263" s="194"/>
      <c r="BT263" s="195"/>
      <c r="BU263" s="194"/>
      <c r="BV263" s="195"/>
      <c r="BW263" s="194"/>
      <c r="BX263" s="195"/>
      <c r="BY263" s="194"/>
      <c r="BZ263" s="195"/>
      <c r="CA263" s="228"/>
      <c r="CB263" s="227">
        <f t="shared" si="146"/>
        <v>69.889196675900266</v>
      </c>
      <c r="CC263" s="223">
        <f t="shared" si="147"/>
        <v>65.231255386383211</v>
      </c>
      <c r="CD263" s="217">
        <f t="shared" si="149"/>
        <v>53.744378698224843</v>
      </c>
      <c r="CE263" s="223">
        <f t="shared" si="151"/>
        <v>47.693761814744789</v>
      </c>
      <c r="CF263" s="217">
        <f t="shared" si="153"/>
        <v>43.802083333333329</v>
      </c>
      <c r="CG263" s="223">
        <f t="shared" si="155"/>
        <v>39.3126731301939</v>
      </c>
      <c r="CH263" s="217">
        <f t="shared" si="157"/>
        <v>31.428373702422142</v>
      </c>
      <c r="CI263" s="223">
        <f t="shared" si="150"/>
        <v>26.827741020793951</v>
      </c>
      <c r="CJ263" s="217">
        <f t="shared" si="152"/>
        <v>23.168044077134983</v>
      </c>
      <c r="CK263" s="191">
        <f t="shared" si="154"/>
        <v>20.99389792899408</v>
      </c>
      <c r="CL263" s="192">
        <f t="shared" si="156"/>
        <v>15.768750000000001</v>
      </c>
      <c r="CM263" s="191">
        <f t="shared" si="158"/>
        <v>11.923440453686235</v>
      </c>
    </row>
    <row r="264" spans="1:91" ht="10.5" customHeight="1">
      <c r="A264" s="179" t="str">
        <f t="shared" si="119"/>
        <v/>
      </c>
      <c r="B264" s="190">
        <v>4.4000000000000004</v>
      </c>
      <c r="C264" s="189"/>
      <c r="D264" s="189"/>
      <c r="E264" s="189"/>
      <c r="F264" s="189"/>
      <c r="G264" s="189"/>
      <c r="H264" s="188"/>
      <c r="I264" s="187"/>
      <c r="J264" s="187"/>
      <c r="K264" s="187"/>
      <c r="L264" s="187"/>
      <c r="M264" s="187"/>
      <c r="N264" s="187"/>
      <c r="O264" s="187"/>
      <c r="P264" s="187"/>
      <c r="Q264" s="187"/>
      <c r="R264" s="187"/>
      <c r="S264" s="186"/>
      <c r="T264" s="183"/>
      <c r="U264" s="186"/>
      <c r="V264" s="183"/>
      <c r="W264" s="184"/>
      <c r="X264" s="184"/>
      <c r="Y264" s="183"/>
      <c r="Z264" s="184"/>
      <c r="AA264" s="184"/>
      <c r="AB264" s="183"/>
      <c r="AC264" s="184"/>
      <c r="AD264" s="184"/>
      <c r="AE264" s="183"/>
      <c r="AF264" s="184"/>
      <c r="AG264" s="184"/>
      <c r="AH264" s="185"/>
      <c r="AI264" s="184"/>
      <c r="AJ264" s="184"/>
      <c r="AK264" s="183"/>
      <c r="AL264" s="184"/>
      <c r="AM264" s="184"/>
      <c r="AN264" s="183"/>
      <c r="AO264" s="184"/>
      <c r="AP264" s="184"/>
      <c r="AQ264" s="183"/>
      <c r="AR264" s="184"/>
      <c r="AS264" s="184"/>
      <c r="AT264" s="183"/>
      <c r="AU264" s="184"/>
      <c r="AV264" s="184"/>
      <c r="AW264" s="183"/>
      <c r="AX264" s="184"/>
      <c r="AY264" s="184"/>
      <c r="AZ264" s="183"/>
      <c r="BA264" s="184"/>
      <c r="BB264" s="183"/>
      <c r="BC264" s="184"/>
      <c r="BD264" s="184"/>
      <c r="BE264" s="183"/>
      <c r="BF264" s="184"/>
      <c r="BG264" s="184"/>
      <c r="BH264" s="183"/>
      <c r="BI264" s="184"/>
      <c r="BJ264" s="184"/>
      <c r="BK264" s="183"/>
      <c r="BL264" s="184"/>
      <c r="BM264" s="184"/>
      <c r="BN264" s="183"/>
      <c r="BO264" s="184"/>
      <c r="BP264" s="183"/>
      <c r="BQ264" s="184"/>
      <c r="BR264" s="184"/>
      <c r="BS264" s="183"/>
      <c r="BT264" s="184"/>
      <c r="BU264" s="183"/>
      <c r="BV264" s="184"/>
      <c r="BW264" s="183"/>
      <c r="BX264" s="184"/>
      <c r="BY264" s="183"/>
      <c r="BZ264" s="184"/>
      <c r="CA264" s="183"/>
      <c r="CB264" s="182"/>
      <c r="CC264" s="221">
        <f t="shared" si="147"/>
        <v>66.739442688882505</v>
      </c>
      <c r="CD264" s="214">
        <f t="shared" si="149"/>
        <v>54.986982248520718</v>
      </c>
      <c r="CE264" s="221">
        <f t="shared" si="151"/>
        <v>48.796471329552624</v>
      </c>
      <c r="CF264" s="214">
        <f t="shared" si="153"/>
        <v>44.814814814814824</v>
      </c>
      <c r="CG264" s="221">
        <f t="shared" si="155"/>
        <v>40.221606648199447</v>
      </c>
      <c r="CH264" s="214">
        <f t="shared" si="157"/>
        <v>32.155017301038072</v>
      </c>
      <c r="CI264" s="221">
        <f t="shared" si="150"/>
        <v>27.448015122873354</v>
      </c>
      <c r="CJ264" s="214">
        <f t="shared" si="152"/>
        <v>23.703703703703706</v>
      </c>
      <c r="CK264" s="180">
        <f t="shared" si="154"/>
        <v>21.479289940828401</v>
      </c>
      <c r="CL264" s="181">
        <f t="shared" si="156"/>
        <v>16.133333333333336</v>
      </c>
      <c r="CM264" s="180">
        <f t="shared" si="158"/>
        <v>12.199117832388193</v>
      </c>
    </row>
    <row r="265" spans="1:91" ht="10.5" customHeight="1">
      <c r="A265" s="179" t="str">
        <f t="shared" si="119"/>
        <v/>
      </c>
      <c r="B265" s="190">
        <v>4.45</v>
      </c>
      <c r="C265" s="189"/>
      <c r="D265" s="189"/>
      <c r="E265" s="189"/>
      <c r="F265" s="189"/>
      <c r="G265" s="189"/>
      <c r="H265" s="188"/>
      <c r="I265" s="187"/>
      <c r="J265" s="187"/>
      <c r="K265" s="187"/>
      <c r="L265" s="187"/>
      <c r="M265" s="187"/>
      <c r="N265" s="187"/>
      <c r="O265" s="187"/>
      <c r="P265" s="187"/>
      <c r="Q265" s="187"/>
      <c r="R265" s="187"/>
      <c r="S265" s="186"/>
      <c r="T265" s="183"/>
      <c r="U265" s="186"/>
      <c r="V265" s="183"/>
      <c r="W265" s="184"/>
      <c r="X265" s="184"/>
      <c r="Y265" s="183"/>
      <c r="Z265" s="184"/>
      <c r="AA265" s="184"/>
      <c r="AB265" s="183"/>
      <c r="AC265" s="184"/>
      <c r="AD265" s="184"/>
      <c r="AE265" s="183"/>
      <c r="AF265" s="184"/>
      <c r="AG265" s="184"/>
      <c r="AH265" s="185"/>
      <c r="AI265" s="184"/>
      <c r="AJ265" s="184"/>
      <c r="AK265" s="183"/>
      <c r="AL265" s="184"/>
      <c r="AM265" s="184"/>
      <c r="AN265" s="183"/>
      <c r="AO265" s="184"/>
      <c r="AP265" s="184"/>
      <c r="AQ265" s="183"/>
      <c r="AR265" s="184"/>
      <c r="AS265" s="184"/>
      <c r="AT265" s="183"/>
      <c r="AU265" s="184"/>
      <c r="AV265" s="184"/>
      <c r="AW265" s="183"/>
      <c r="AX265" s="184"/>
      <c r="AY265" s="184"/>
      <c r="AZ265" s="183"/>
      <c r="BA265" s="184"/>
      <c r="BB265" s="183"/>
      <c r="BC265" s="184"/>
      <c r="BD265" s="184"/>
      <c r="BE265" s="183"/>
      <c r="BF265" s="184"/>
      <c r="BG265" s="184"/>
      <c r="BH265" s="183"/>
      <c r="BI265" s="184"/>
      <c r="BJ265" s="184"/>
      <c r="BK265" s="183"/>
      <c r="BL265" s="184"/>
      <c r="BM265" s="184"/>
      <c r="BN265" s="183"/>
      <c r="BO265" s="184"/>
      <c r="BP265" s="183"/>
      <c r="BQ265" s="184"/>
      <c r="BR265" s="184"/>
      <c r="BS265" s="183"/>
      <c r="BT265" s="184"/>
      <c r="BU265" s="183"/>
      <c r="BV265" s="184"/>
      <c r="BW265" s="183"/>
      <c r="BX265" s="184"/>
      <c r="BY265" s="183"/>
      <c r="BZ265" s="184"/>
      <c r="CA265" s="183"/>
      <c r="CB265" s="182"/>
      <c r="CC265" s="221">
        <f t="shared" si="147"/>
        <v>68.264866417696069</v>
      </c>
      <c r="CD265" s="214">
        <f t="shared" si="149"/>
        <v>56.243786982248523</v>
      </c>
      <c r="CE265" s="221">
        <f t="shared" si="151"/>
        <v>49.911783238815367</v>
      </c>
      <c r="CF265" s="214">
        <f t="shared" si="153"/>
        <v>45.839120370370374</v>
      </c>
      <c r="CG265" s="221">
        <f t="shared" si="155"/>
        <v>41.140927977839347</v>
      </c>
      <c r="CH265" s="214">
        <f t="shared" si="157"/>
        <v>32.889965397923874</v>
      </c>
      <c r="CI265" s="221">
        <f t="shared" si="150"/>
        <v>28.075378071833651</v>
      </c>
      <c r="CJ265" s="214">
        <f t="shared" si="152"/>
        <v>24.245485154576063</v>
      </c>
      <c r="CK265" s="180">
        <f t="shared" si="154"/>
        <v>21.970229289940825</v>
      </c>
      <c r="CL265" s="181">
        <f t="shared" si="156"/>
        <v>16.502083333333335</v>
      </c>
      <c r="CM265" s="180">
        <f t="shared" si="158"/>
        <v>12.477945809703881</v>
      </c>
    </row>
    <row r="266" spans="1:91" ht="10.5" customHeight="1" thickBot="1">
      <c r="A266" s="179" t="str">
        <f t="shared" ref="A266:A306" si="159">IF(B266=$A$7,"this row","")</f>
        <v/>
      </c>
      <c r="B266" s="213">
        <v>4.5</v>
      </c>
      <c r="C266" s="212"/>
      <c r="D266" s="212"/>
      <c r="E266" s="212"/>
      <c r="F266" s="212"/>
      <c r="G266" s="212"/>
      <c r="H266" s="211"/>
      <c r="I266" s="210"/>
      <c r="J266" s="210"/>
      <c r="K266" s="210"/>
      <c r="L266" s="210"/>
      <c r="M266" s="210"/>
      <c r="N266" s="210"/>
      <c r="O266" s="210"/>
      <c r="P266" s="210"/>
      <c r="Q266" s="210"/>
      <c r="R266" s="210"/>
      <c r="S266" s="209"/>
      <c r="T266" s="207"/>
      <c r="U266" s="209"/>
      <c r="V266" s="207"/>
      <c r="W266" s="206"/>
      <c r="X266" s="206"/>
      <c r="Y266" s="207"/>
      <c r="Z266" s="206"/>
      <c r="AA266" s="206"/>
      <c r="AB266" s="207"/>
      <c r="AC266" s="206"/>
      <c r="AD266" s="206"/>
      <c r="AE266" s="207"/>
      <c r="AF266" s="206"/>
      <c r="AG266" s="206"/>
      <c r="AH266" s="208"/>
      <c r="AI266" s="206"/>
      <c r="AJ266" s="206"/>
      <c r="AK266" s="207"/>
      <c r="AL266" s="206"/>
      <c r="AM266" s="206"/>
      <c r="AN266" s="207"/>
      <c r="AO266" s="206"/>
      <c r="AP266" s="206"/>
      <c r="AQ266" s="207"/>
      <c r="AR266" s="206"/>
      <c r="AS266" s="206"/>
      <c r="AT266" s="207"/>
      <c r="AU266" s="206"/>
      <c r="AV266" s="206"/>
      <c r="AW266" s="207"/>
      <c r="AX266" s="206"/>
      <c r="AY266" s="206"/>
      <c r="AZ266" s="207"/>
      <c r="BA266" s="206"/>
      <c r="BB266" s="207"/>
      <c r="BC266" s="206"/>
      <c r="BD266" s="206"/>
      <c r="BE266" s="207"/>
      <c r="BF266" s="206"/>
      <c r="BG266" s="206"/>
      <c r="BH266" s="207"/>
      <c r="BI266" s="206"/>
      <c r="BJ266" s="206"/>
      <c r="BK266" s="207"/>
      <c r="BL266" s="206"/>
      <c r="BM266" s="206"/>
      <c r="BN266" s="207"/>
      <c r="BO266" s="206"/>
      <c r="BP266" s="207"/>
      <c r="BQ266" s="206"/>
      <c r="BR266" s="206"/>
      <c r="BS266" s="207"/>
      <c r="BT266" s="206"/>
      <c r="BU266" s="207"/>
      <c r="BV266" s="206"/>
      <c r="BW266" s="207"/>
      <c r="BX266" s="206"/>
      <c r="BY266" s="207"/>
      <c r="BZ266" s="206"/>
      <c r="CA266" s="207"/>
      <c r="CB266" s="226"/>
      <c r="CC266" s="236">
        <f t="shared" si="147"/>
        <v>69.807526572823903</v>
      </c>
      <c r="CD266" s="219">
        <f t="shared" si="149"/>
        <v>57.514792899408278</v>
      </c>
      <c r="CE266" s="225">
        <f t="shared" si="151"/>
        <v>51.039697542533084</v>
      </c>
      <c r="CF266" s="219">
        <f t="shared" si="153"/>
        <v>46.875</v>
      </c>
      <c r="CG266" s="225">
        <f t="shared" si="155"/>
        <v>42.070637119113584</v>
      </c>
      <c r="CH266" s="219">
        <f t="shared" si="157"/>
        <v>33.63321799307959</v>
      </c>
      <c r="CI266" s="225">
        <f t="shared" si="150"/>
        <v>28.709829867674863</v>
      </c>
      <c r="CJ266" s="219">
        <f t="shared" si="152"/>
        <v>24.793388429752063</v>
      </c>
      <c r="CK266" s="202">
        <f t="shared" si="154"/>
        <v>22.466715976331358</v>
      </c>
      <c r="CL266" s="203">
        <f t="shared" si="156"/>
        <v>16.875</v>
      </c>
      <c r="CM266" s="202">
        <f t="shared" si="158"/>
        <v>12.75992438563331</v>
      </c>
    </row>
    <row r="267" spans="1:91" ht="10.5" customHeight="1">
      <c r="A267" s="179" t="str">
        <f t="shared" si="159"/>
        <v/>
      </c>
      <c r="B267" s="201">
        <v>4.55</v>
      </c>
      <c r="C267" s="200"/>
      <c r="D267" s="200"/>
      <c r="E267" s="200"/>
      <c r="F267" s="200"/>
      <c r="G267" s="200"/>
      <c r="H267" s="199"/>
      <c r="I267" s="198"/>
      <c r="J267" s="198"/>
      <c r="K267" s="198"/>
      <c r="L267" s="198"/>
      <c r="M267" s="198"/>
      <c r="N267" s="198"/>
      <c r="O267" s="198"/>
      <c r="P267" s="198"/>
      <c r="Q267" s="198"/>
      <c r="R267" s="198"/>
      <c r="S267" s="197"/>
      <c r="T267" s="194"/>
      <c r="U267" s="197"/>
      <c r="V267" s="194"/>
      <c r="W267" s="195"/>
      <c r="X267" s="195"/>
      <c r="Y267" s="194"/>
      <c r="Z267" s="195"/>
      <c r="AA267" s="195"/>
      <c r="AB267" s="194"/>
      <c r="AC267" s="195"/>
      <c r="AD267" s="195"/>
      <c r="AE267" s="194"/>
      <c r="AF267" s="195"/>
      <c r="AG267" s="195"/>
      <c r="AH267" s="196"/>
      <c r="AI267" s="195"/>
      <c r="AJ267" s="195"/>
      <c r="AK267" s="194"/>
      <c r="AL267" s="195"/>
      <c r="AM267" s="195"/>
      <c r="AN267" s="194"/>
      <c r="AO267" s="195"/>
      <c r="AP267" s="195"/>
      <c r="AQ267" s="194"/>
      <c r="AR267" s="195"/>
      <c r="AS267" s="195"/>
      <c r="AT267" s="194"/>
      <c r="AU267" s="195"/>
      <c r="AV267" s="195"/>
      <c r="AW267" s="194"/>
      <c r="AX267" s="195"/>
      <c r="AY267" s="195"/>
      <c r="AZ267" s="194"/>
      <c r="BA267" s="195"/>
      <c r="BB267" s="194"/>
      <c r="BC267" s="195"/>
      <c r="BD267" s="195"/>
      <c r="BE267" s="194"/>
      <c r="BF267" s="195"/>
      <c r="BG267" s="195"/>
      <c r="BH267" s="194"/>
      <c r="BI267" s="195"/>
      <c r="BJ267" s="195"/>
      <c r="BK267" s="194"/>
      <c r="BL267" s="195"/>
      <c r="BM267" s="195"/>
      <c r="BN267" s="194"/>
      <c r="BO267" s="195"/>
      <c r="BP267" s="194"/>
      <c r="BQ267" s="195"/>
      <c r="BR267" s="195"/>
      <c r="BS267" s="194"/>
      <c r="BT267" s="195"/>
      <c r="BU267" s="194"/>
      <c r="BV267" s="195"/>
      <c r="BW267" s="194"/>
      <c r="BX267" s="195"/>
      <c r="BY267" s="194"/>
      <c r="BZ267" s="195"/>
      <c r="CA267" s="194"/>
      <c r="CB267" s="195"/>
      <c r="CC267" s="228"/>
      <c r="CD267" s="217">
        <f t="shared" si="149"/>
        <v>58.79999999999999</v>
      </c>
      <c r="CE267" s="223">
        <f t="shared" si="151"/>
        <v>52.180214240705723</v>
      </c>
      <c r="CF267" s="217">
        <f t="shared" si="153"/>
        <v>47.922453703703695</v>
      </c>
      <c r="CG267" s="223">
        <f t="shared" si="155"/>
        <v>43.010734072022167</v>
      </c>
      <c r="CH267" s="217">
        <f t="shared" si="157"/>
        <v>34.384775086505186</v>
      </c>
      <c r="CI267" s="223">
        <f t="shared" si="150"/>
        <v>29.351370510396979</v>
      </c>
      <c r="CJ267" s="217">
        <f t="shared" si="152"/>
        <v>25.347413529231709</v>
      </c>
      <c r="CK267" s="191">
        <f t="shared" si="154"/>
        <v>22.968749999999993</v>
      </c>
      <c r="CL267" s="192">
        <f t="shared" si="156"/>
        <v>17.252083333333331</v>
      </c>
      <c r="CM267" s="191">
        <f t="shared" si="158"/>
        <v>13.045053560176472</v>
      </c>
    </row>
    <row r="268" spans="1:91" ht="10.5" customHeight="1">
      <c r="A268" s="179" t="str">
        <f t="shared" si="159"/>
        <v/>
      </c>
      <c r="B268" s="190">
        <v>4.5999999999999996</v>
      </c>
      <c r="C268" s="189"/>
      <c r="D268" s="189"/>
      <c r="E268" s="189"/>
      <c r="F268" s="189"/>
      <c r="G268" s="189"/>
      <c r="H268" s="188"/>
      <c r="I268" s="187"/>
      <c r="J268" s="187"/>
      <c r="K268" s="187"/>
      <c r="L268" s="187"/>
      <c r="M268" s="187"/>
      <c r="N268" s="187"/>
      <c r="O268" s="187"/>
      <c r="P268" s="187"/>
      <c r="Q268" s="187"/>
      <c r="R268" s="187"/>
      <c r="S268" s="186"/>
      <c r="T268" s="183"/>
      <c r="U268" s="186"/>
      <c r="V268" s="183"/>
      <c r="W268" s="184"/>
      <c r="X268" s="184"/>
      <c r="Y268" s="183"/>
      <c r="Z268" s="184"/>
      <c r="AA268" s="184"/>
      <c r="AB268" s="183"/>
      <c r="AC268" s="184"/>
      <c r="AD268" s="184"/>
      <c r="AE268" s="183"/>
      <c r="AF268" s="184"/>
      <c r="AG268" s="184"/>
      <c r="AH268" s="185"/>
      <c r="AI268" s="184"/>
      <c r="AJ268" s="184"/>
      <c r="AK268" s="183"/>
      <c r="AL268" s="184"/>
      <c r="AM268" s="184"/>
      <c r="AN268" s="183"/>
      <c r="AO268" s="184"/>
      <c r="AP268" s="184"/>
      <c r="AQ268" s="183"/>
      <c r="AR268" s="184"/>
      <c r="AS268" s="184"/>
      <c r="AT268" s="183"/>
      <c r="AU268" s="184"/>
      <c r="AV268" s="184"/>
      <c r="AW268" s="183"/>
      <c r="AX268" s="184"/>
      <c r="AY268" s="184"/>
      <c r="AZ268" s="183"/>
      <c r="BA268" s="184"/>
      <c r="BB268" s="183"/>
      <c r="BC268" s="184"/>
      <c r="BD268" s="184"/>
      <c r="BE268" s="183"/>
      <c r="BF268" s="184"/>
      <c r="BG268" s="184"/>
      <c r="BH268" s="183"/>
      <c r="BI268" s="184"/>
      <c r="BJ268" s="184"/>
      <c r="BK268" s="183"/>
      <c r="BL268" s="184"/>
      <c r="BM268" s="184"/>
      <c r="BN268" s="183"/>
      <c r="BO268" s="184"/>
      <c r="BP268" s="183"/>
      <c r="BQ268" s="184"/>
      <c r="BR268" s="184"/>
      <c r="BS268" s="183"/>
      <c r="BT268" s="184"/>
      <c r="BU268" s="183"/>
      <c r="BV268" s="184"/>
      <c r="BW268" s="183"/>
      <c r="BX268" s="184"/>
      <c r="BY268" s="183"/>
      <c r="BZ268" s="184"/>
      <c r="CA268" s="183"/>
      <c r="CB268" s="184"/>
      <c r="CC268" s="215"/>
      <c r="CD268" s="214">
        <f t="shared" si="149"/>
        <v>60.099408284023653</v>
      </c>
      <c r="CE268" s="221">
        <f t="shared" si="151"/>
        <v>53.333333333333329</v>
      </c>
      <c r="CF268" s="214">
        <f t="shared" si="153"/>
        <v>48.981481481481474</v>
      </c>
      <c r="CG268" s="221">
        <f t="shared" si="155"/>
        <v>43.961218836565095</v>
      </c>
      <c r="CH268" s="214">
        <f t="shared" si="157"/>
        <v>35.144636678200683</v>
      </c>
      <c r="CI268" s="235">
        <v>30</v>
      </c>
      <c r="CJ268" s="214">
        <f t="shared" si="152"/>
        <v>25.907560453014991</v>
      </c>
      <c r="CK268" s="180">
        <f t="shared" si="154"/>
        <v>23.476331360946737</v>
      </c>
      <c r="CL268" s="181">
        <f t="shared" si="156"/>
        <v>17.633333333333333</v>
      </c>
      <c r="CM268" s="180">
        <f t="shared" si="158"/>
        <v>13.333333333333373</v>
      </c>
    </row>
    <row r="269" spans="1:91" ht="10.5" customHeight="1">
      <c r="A269" s="179" t="str">
        <f t="shared" si="159"/>
        <v/>
      </c>
      <c r="B269" s="190">
        <v>4.6500000000000004</v>
      </c>
      <c r="C269" s="189"/>
      <c r="D269" s="189"/>
      <c r="E269" s="189"/>
      <c r="F269" s="189"/>
      <c r="G269" s="189"/>
      <c r="H269" s="188"/>
      <c r="I269" s="187"/>
      <c r="J269" s="187"/>
      <c r="K269" s="187"/>
      <c r="L269" s="187"/>
      <c r="M269" s="187"/>
      <c r="N269" s="187"/>
      <c r="O269" s="187"/>
      <c r="P269" s="187"/>
      <c r="Q269" s="187"/>
      <c r="R269" s="187"/>
      <c r="S269" s="186"/>
      <c r="T269" s="183"/>
      <c r="U269" s="186"/>
      <c r="V269" s="183"/>
      <c r="W269" s="184"/>
      <c r="X269" s="184"/>
      <c r="Y269" s="183"/>
      <c r="Z269" s="184"/>
      <c r="AA269" s="184"/>
      <c r="AB269" s="183"/>
      <c r="AC269" s="184"/>
      <c r="AD269" s="184"/>
      <c r="AE269" s="183"/>
      <c r="AF269" s="184"/>
      <c r="AG269" s="184"/>
      <c r="AH269" s="185"/>
      <c r="AI269" s="184"/>
      <c r="AJ269" s="184"/>
      <c r="AK269" s="183"/>
      <c r="AL269" s="184"/>
      <c r="AM269" s="184"/>
      <c r="AN269" s="183"/>
      <c r="AO269" s="184"/>
      <c r="AP269" s="184"/>
      <c r="AQ269" s="183"/>
      <c r="AR269" s="184"/>
      <c r="AS269" s="184"/>
      <c r="AT269" s="183"/>
      <c r="AU269" s="184"/>
      <c r="AV269" s="184"/>
      <c r="AW269" s="183"/>
      <c r="AX269" s="184"/>
      <c r="AY269" s="184"/>
      <c r="AZ269" s="183"/>
      <c r="BA269" s="184"/>
      <c r="BB269" s="183"/>
      <c r="BC269" s="184"/>
      <c r="BD269" s="184"/>
      <c r="BE269" s="183"/>
      <c r="BF269" s="184"/>
      <c r="BG269" s="184"/>
      <c r="BH269" s="183"/>
      <c r="BI269" s="184"/>
      <c r="BJ269" s="184"/>
      <c r="BK269" s="183"/>
      <c r="BL269" s="184"/>
      <c r="BM269" s="184"/>
      <c r="BN269" s="183"/>
      <c r="BO269" s="184"/>
      <c r="BP269" s="183"/>
      <c r="BQ269" s="184"/>
      <c r="BR269" s="184"/>
      <c r="BS269" s="183"/>
      <c r="BT269" s="184"/>
      <c r="BU269" s="183"/>
      <c r="BV269" s="184"/>
      <c r="BW269" s="183"/>
      <c r="BX269" s="184"/>
      <c r="BY269" s="183"/>
      <c r="BZ269" s="184"/>
      <c r="CA269" s="183"/>
      <c r="CB269" s="184"/>
      <c r="CC269" s="215"/>
      <c r="CD269" s="214">
        <f t="shared" si="149"/>
        <v>61.413017751479295</v>
      </c>
      <c r="CE269" s="221">
        <f t="shared" si="151"/>
        <v>54.499054820415878</v>
      </c>
      <c r="CF269" s="214">
        <f t="shared" si="153"/>
        <v>50.052083333333336</v>
      </c>
      <c r="CG269" s="221">
        <f t="shared" si="155"/>
        <v>44.92209141274239</v>
      </c>
      <c r="CH269" s="214">
        <f t="shared" si="157"/>
        <v>35.912802768166095</v>
      </c>
      <c r="CI269" s="221">
        <f t="shared" ref="CI269:CI297" si="160" xml:space="preserve"> 30*(B269/B$268)^2</f>
        <v>30.655718336483936</v>
      </c>
      <c r="CJ269" s="214">
        <f t="shared" si="152"/>
        <v>26.473829201101932</v>
      </c>
      <c r="CK269" s="180">
        <f t="shared" si="154"/>
        <v>23.989460059171602</v>
      </c>
      <c r="CL269" s="181">
        <f t="shared" si="156"/>
        <v>18.018750000000001</v>
      </c>
      <c r="CM269" s="180">
        <f t="shared" si="158"/>
        <v>13.624763705104016</v>
      </c>
    </row>
    <row r="270" spans="1:91" ht="10.5" customHeight="1">
      <c r="A270" s="179" t="str">
        <f t="shared" si="159"/>
        <v/>
      </c>
      <c r="B270" s="213">
        <v>4.7</v>
      </c>
      <c r="C270" s="212"/>
      <c r="D270" s="212"/>
      <c r="E270" s="212"/>
      <c r="F270" s="212"/>
      <c r="G270" s="212"/>
      <c r="H270" s="211"/>
      <c r="I270" s="210"/>
      <c r="J270" s="210"/>
      <c r="K270" s="210"/>
      <c r="L270" s="210"/>
      <c r="M270" s="210"/>
      <c r="N270" s="210"/>
      <c r="O270" s="210"/>
      <c r="P270" s="210"/>
      <c r="Q270" s="210"/>
      <c r="R270" s="210"/>
      <c r="S270" s="209"/>
      <c r="T270" s="207"/>
      <c r="U270" s="209"/>
      <c r="V270" s="207"/>
      <c r="W270" s="206"/>
      <c r="X270" s="206"/>
      <c r="Y270" s="207"/>
      <c r="Z270" s="206"/>
      <c r="AA270" s="206"/>
      <c r="AB270" s="207"/>
      <c r="AC270" s="206"/>
      <c r="AD270" s="206"/>
      <c r="AE270" s="207"/>
      <c r="AF270" s="206"/>
      <c r="AG270" s="206"/>
      <c r="AH270" s="208"/>
      <c r="AI270" s="206"/>
      <c r="AJ270" s="206"/>
      <c r="AK270" s="207"/>
      <c r="AL270" s="206"/>
      <c r="AM270" s="206"/>
      <c r="AN270" s="207"/>
      <c r="AO270" s="206"/>
      <c r="AP270" s="206"/>
      <c r="AQ270" s="207"/>
      <c r="AR270" s="206"/>
      <c r="AS270" s="206"/>
      <c r="AT270" s="207"/>
      <c r="AU270" s="206"/>
      <c r="AV270" s="206"/>
      <c r="AW270" s="207"/>
      <c r="AX270" s="206"/>
      <c r="AY270" s="206"/>
      <c r="AZ270" s="207"/>
      <c r="BA270" s="206"/>
      <c r="BB270" s="207"/>
      <c r="BC270" s="206"/>
      <c r="BD270" s="206"/>
      <c r="BE270" s="207"/>
      <c r="BF270" s="206"/>
      <c r="BG270" s="206"/>
      <c r="BH270" s="207"/>
      <c r="BI270" s="206"/>
      <c r="BJ270" s="206"/>
      <c r="BK270" s="207"/>
      <c r="BL270" s="206"/>
      <c r="BM270" s="206"/>
      <c r="BN270" s="207"/>
      <c r="BO270" s="206"/>
      <c r="BP270" s="207"/>
      <c r="BQ270" s="206"/>
      <c r="BR270" s="206"/>
      <c r="BS270" s="207"/>
      <c r="BT270" s="206"/>
      <c r="BU270" s="207"/>
      <c r="BV270" s="206"/>
      <c r="BW270" s="207"/>
      <c r="BX270" s="206"/>
      <c r="BY270" s="207"/>
      <c r="BZ270" s="206"/>
      <c r="CA270" s="207"/>
      <c r="CB270" s="206"/>
      <c r="CC270" s="205"/>
      <c r="CD270" s="219">
        <f t="shared" si="149"/>
        <v>62.740828402366859</v>
      </c>
      <c r="CE270" s="225">
        <f t="shared" si="151"/>
        <v>55.677378701953373</v>
      </c>
      <c r="CF270" s="219">
        <f t="shared" si="153"/>
        <v>51.13425925925926</v>
      </c>
      <c r="CG270" s="225">
        <f t="shared" si="155"/>
        <v>45.893351800554022</v>
      </c>
      <c r="CH270" s="219">
        <f t="shared" si="157"/>
        <v>36.689273356401394</v>
      </c>
      <c r="CI270" s="225">
        <f t="shared" si="160"/>
        <v>31.31852551984878</v>
      </c>
      <c r="CJ270" s="219">
        <f t="shared" si="152"/>
        <v>27.046219773492499</v>
      </c>
      <c r="CK270" s="202">
        <f t="shared" si="154"/>
        <v>24.508136094674555</v>
      </c>
      <c r="CL270" s="203">
        <f t="shared" si="156"/>
        <v>18.408333333333331</v>
      </c>
      <c r="CM270" s="202">
        <f t="shared" si="158"/>
        <v>13.919344675488384</v>
      </c>
    </row>
    <row r="271" spans="1:91" ht="10.5" customHeight="1">
      <c r="A271" s="179" t="str">
        <f t="shared" si="159"/>
        <v/>
      </c>
      <c r="B271" s="201">
        <v>4.75</v>
      </c>
      <c r="C271" s="200"/>
      <c r="D271" s="200"/>
      <c r="E271" s="200"/>
      <c r="F271" s="200"/>
      <c r="G271" s="200"/>
      <c r="H271" s="199"/>
      <c r="I271" s="198"/>
      <c r="J271" s="198"/>
      <c r="K271" s="198"/>
      <c r="L271" s="198"/>
      <c r="M271" s="198"/>
      <c r="N271" s="198"/>
      <c r="O271" s="198"/>
      <c r="P271" s="198"/>
      <c r="Q271" s="198"/>
      <c r="R271" s="198"/>
      <c r="S271" s="197"/>
      <c r="T271" s="194"/>
      <c r="U271" s="197"/>
      <c r="V271" s="194"/>
      <c r="W271" s="195"/>
      <c r="X271" s="195"/>
      <c r="Y271" s="194"/>
      <c r="Z271" s="195"/>
      <c r="AA271" s="195"/>
      <c r="AB271" s="194"/>
      <c r="AC271" s="195"/>
      <c r="AD271" s="195"/>
      <c r="AE271" s="194"/>
      <c r="AF271" s="195"/>
      <c r="AG271" s="195"/>
      <c r="AH271" s="196"/>
      <c r="AI271" s="195"/>
      <c r="AJ271" s="195"/>
      <c r="AK271" s="194"/>
      <c r="AL271" s="195"/>
      <c r="AM271" s="195"/>
      <c r="AN271" s="194"/>
      <c r="AO271" s="195"/>
      <c r="AP271" s="195"/>
      <c r="AQ271" s="194"/>
      <c r="AR271" s="195"/>
      <c r="AS271" s="195"/>
      <c r="AT271" s="194"/>
      <c r="AU271" s="195"/>
      <c r="AV271" s="195"/>
      <c r="AW271" s="194"/>
      <c r="AX271" s="195"/>
      <c r="AY271" s="195"/>
      <c r="AZ271" s="194"/>
      <c r="BA271" s="195"/>
      <c r="BB271" s="194"/>
      <c r="BC271" s="195"/>
      <c r="BD271" s="195"/>
      <c r="BE271" s="194"/>
      <c r="BF271" s="195"/>
      <c r="BG271" s="195"/>
      <c r="BH271" s="194"/>
      <c r="BI271" s="195"/>
      <c r="BJ271" s="195"/>
      <c r="BK271" s="194"/>
      <c r="BL271" s="195"/>
      <c r="BM271" s="195"/>
      <c r="BN271" s="194"/>
      <c r="BO271" s="195"/>
      <c r="BP271" s="194"/>
      <c r="BQ271" s="195"/>
      <c r="BR271" s="195"/>
      <c r="BS271" s="194"/>
      <c r="BT271" s="195"/>
      <c r="BU271" s="194"/>
      <c r="BV271" s="195"/>
      <c r="BW271" s="194"/>
      <c r="BX271" s="195"/>
      <c r="BY271" s="194"/>
      <c r="BZ271" s="195"/>
      <c r="CA271" s="194"/>
      <c r="CB271" s="195"/>
      <c r="CC271" s="228"/>
      <c r="CD271" s="217">
        <f t="shared" si="149"/>
        <v>64.08284023668638</v>
      </c>
      <c r="CE271" s="223">
        <f t="shared" si="151"/>
        <v>56.868304977945805</v>
      </c>
      <c r="CF271" s="217">
        <f t="shared" si="153"/>
        <v>52.228009259259252</v>
      </c>
      <c r="CG271" s="223">
        <f t="shared" si="155"/>
        <v>46.875</v>
      </c>
      <c r="CH271" s="217">
        <f t="shared" si="157"/>
        <v>37.474048442906579</v>
      </c>
      <c r="CI271" s="223">
        <f t="shared" si="160"/>
        <v>31.988421550094525</v>
      </c>
      <c r="CJ271" s="217">
        <f t="shared" si="152"/>
        <v>27.624732170186714</v>
      </c>
      <c r="CK271" s="191">
        <f t="shared" si="154"/>
        <v>25.03235946745562</v>
      </c>
      <c r="CL271" s="192">
        <f t="shared" si="156"/>
        <v>18.802083333333332</v>
      </c>
      <c r="CM271" s="191">
        <f t="shared" si="158"/>
        <v>14.217076244486496</v>
      </c>
    </row>
    <row r="272" spans="1:91" ht="10.5" customHeight="1">
      <c r="A272" s="179" t="str">
        <f t="shared" si="159"/>
        <v/>
      </c>
      <c r="B272" s="190">
        <v>4.8</v>
      </c>
      <c r="C272" s="189"/>
      <c r="D272" s="189"/>
      <c r="E272" s="189"/>
      <c r="F272" s="189"/>
      <c r="G272" s="189"/>
      <c r="H272" s="188"/>
      <c r="I272" s="187"/>
      <c r="J272" s="187"/>
      <c r="K272" s="187"/>
      <c r="L272" s="187"/>
      <c r="M272" s="187"/>
      <c r="N272" s="187"/>
      <c r="O272" s="187"/>
      <c r="P272" s="187"/>
      <c r="Q272" s="187"/>
      <c r="R272" s="187"/>
      <c r="S272" s="186"/>
      <c r="T272" s="183"/>
      <c r="U272" s="186"/>
      <c r="V272" s="183"/>
      <c r="W272" s="184"/>
      <c r="X272" s="184"/>
      <c r="Y272" s="183"/>
      <c r="Z272" s="184"/>
      <c r="AA272" s="184"/>
      <c r="AB272" s="183"/>
      <c r="AC272" s="184"/>
      <c r="AD272" s="184"/>
      <c r="AE272" s="183"/>
      <c r="AF272" s="184"/>
      <c r="AG272" s="184"/>
      <c r="AH272" s="185"/>
      <c r="AI272" s="184"/>
      <c r="AJ272" s="184"/>
      <c r="AK272" s="183"/>
      <c r="AL272" s="184"/>
      <c r="AM272" s="184"/>
      <c r="AN272" s="183"/>
      <c r="AO272" s="184"/>
      <c r="AP272" s="184"/>
      <c r="AQ272" s="183"/>
      <c r="AR272" s="184"/>
      <c r="AS272" s="184"/>
      <c r="AT272" s="183"/>
      <c r="AU272" s="184"/>
      <c r="AV272" s="184"/>
      <c r="AW272" s="183"/>
      <c r="AX272" s="184"/>
      <c r="AY272" s="184"/>
      <c r="AZ272" s="183"/>
      <c r="BA272" s="184"/>
      <c r="BB272" s="183"/>
      <c r="BC272" s="184"/>
      <c r="BD272" s="184"/>
      <c r="BE272" s="183"/>
      <c r="BF272" s="184"/>
      <c r="BG272" s="184"/>
      <c r="BH272" s="183"/>
      <c r="BI272" s="184"/>
      <c r="BJ272" s="184"/>
      <c r="BK272" s="183"/>
      <c r="BL272" s="184"/>
      <c r="BM272" s="184"/>
      <c r="BN272" s="183"/>
      <c r="BO272" s="184"/>
      <c r="BP272" s="183"/>
      <c r="BQ272" s="184"/>
      <c r="BR272" s="184"/>
      <c r="BS272" s="183"/>
      <c r="BT272" s="184"/>
      <c r="BU272" s="183"/>
      <c r="BV272" s="184"/>
      <c r="BW272" s="183"/>
      <c r="BX272" s="184"/>
      <c r="BY272" s="183"/>
      <c r="BZ272" s="184"/>
      <c r="CA272" s="183"/>
      <c r="CB272" s="184"/>
      <c r="CC272" s="215"/>
      <c r="CD272" s="214">
        <f t="shared" si="149"/>
        <v>65.439053254437852</v>
      </c>
      <c r="CE272" s="221">
        <f t="shared" si="151"/>
        <v>58.071833648393188</v>
      </c>
      <c r="CF272" s="214">
        <f t="shared" si="153"/>
        <v>53.333333333333329</v>
      </c>
      <c r="CG272" s="221">
        <f t="shared" si="155"/>
        <v>47.86703601108033</v>
      </c>
      <c r="CH272" s="214">
        <f t="shared" si="157"/>
        <v>38.267128027681657</v>
      </c>
      <c r="CI272" s="221">
        <f t="shared" si="160"/>
        <v>32.665406427221171</v>
      </c>
      <c r="CJ272" s="214">
        <f t="shared" si="152"/>
        <v>28.20936639118457</v>
      </c>
      <c r="CK272" s="180">
        <f t="shared" si="154"/>
        <v>25.562130177514788</v>
      </c>
      <c r="CL272" s="181">
        <f t="shared" si="156"/>
        <v>19.199999999999996</v>
      </c>
      <c r="CM272" s="180">
        <f t="shared" si="158"/>
        <v>14.51795841209834</v>
      </c>
    </row>
    <row r="273" spans="1:91" ht="10.5" customHeight="1">
      <c r="A273" s="179" t="str">
        <f t="shared" si="159"/>
        <v/>
      </c>
      <c r="B273" s="190">
        <v>4.8499999999999996</v>
      </c>
      <c r="C273" s="189"/>
      <c r="D273" s="189"/>
      <c r="E273" s="189"/>
      <c r="F273" s="189"/>
      <c r="G273" s="189"/>
      <c r="H273" s="188"/>
      <c r="I273" s="187"/>
      <c r="J273" s="187"/>
      <c r="K273" s="187"/>
      <c r="L273" s="187"/>
      <c r="M273" s="187"/>
      <c r="N273" s="187"/>
      <c r="O273" s="187"/>
      <c r="P273" s="187"/>
      <c r="Q273" s="187"/>
      <c r="R273" s="187"/>
      <c r="S273" s="186"/>
      <c r="T273" s="183"/>
      <c r="U273" s="186"/>
      <c r="V273" s="183"/>
      <c r="W273" s="184"/>
      <c r="X273" s="184"/>
      <c r="Y273" s="183"/>
      <c r="Z273" s="184"/>
      <c r="AA273" s="184"/>
      <c r="AB273" s="183"/>
      <c r="AC273" s="184"/>
      <c r="AD273" s="184"/>
      <c r="AE273" s="183"/>
      <c r="AF273" s="184"/>
      <c r="AG273" s="184"/>
      <c r="AH273" s="185"/>
      <c r="AI273" s="184"/>
      <c r="AJ273" s="184"/>
      <c r="AK273" s="183"/>
      <c r="AL273" s="184"/>
      <c r="AM273" s="184"/>
      <c r="AN273" s="183"/>
      <c r="AO273" s="184"/>
      <c r="AP273" s="184"/>
      <c r="AQ273" s="183"/>
      <c r="AR273" s="184"/>
      <c r="AS273" s="184"/>
      <c r="AT273" s="183"/>
      <c r="AU273" s="184"/>
      <c r="AV273" s="184"/>
      <c r="AW273" s="183"/>
      <c r="AX273" s="184"/>
      <c r="AY273" s="184"/>
      <c r="AZ273" s="183"/>
      <c r="BA273" s="184"/>
      <c r="BB273" s="183"/>
      <c r="BC273" s="184"/>
      <c r="BD273" s="184"/>
      <c r="BE273" s="183"/>
      <c r="BF273" s="184"/>
      <c r="BG273" s="184"/>
      <c r="BH273" s="183"/>
      <c r="BI273" s="184"/>
      <c r="BJ273" s="184"/>
      <c r="BK273" s="183"/>
      <c r="BL273" s="184"/>
      <c r="BM273" s="184"/>
      <c r="BN273" s="183"/>
      <c r="BO273" s="184"/>
      <c r="BP273" s="183"/>
      <c r="BQ273" s="184"/>
      <c r="BR273" s="184"/>
      <c r="BS273" s="183"/>
      <c r="BT273" s="184"/>
      <c r="BU273" s="183"/>
      <c r="BV273" s="184"/>
      <c r="BW273" s="183"/>
      <c r="BX273" s="184"/>
      <c r="BY273" s="183"/>
      <c r="BZ273" s="184"/>
      <c r="CA273" s="183"/>
      <c r="CB273" s="184"/>
      <c r="CC273" s="215"/>
      <c r="CD273" s="214">
        <f t="shared" si="149"/>
        <v>66.809467455621274</v>
      </c>
      <c r="CE273" s="221">
        <f t="shared" si="151"/>
        <v>59.287964713295509</v>
      </c>
      <c r="CF273" s="214">
        <f t="shared" si="153"/>
        <v>54.450231481481474</v>
      </c>
      <c r="CG273" s="221">
        <f t="shared" si="155"/>
        <v>48.869459833794998</v>
      </c>
      <c r="CH273" s="214">
        <f t="shared" si="157"/>
        <v>39.068512110726637</v>
      </c>
      <c r="CI273" s="221">
        <f t="shared" si="160"/>
        <v>33.349480151228732</v>
      </c>
      <c r="CJ273" s="214">
        <f t="shared" si="152"/>
        <v>28.800122436486067</v>
      </c>
      <c r="CK273" s="180">
        <f t="shared" si="154"/>
        <v>26.097448224852066</v>
      </c>
      <c r="CL273" s="181">
        <f t="shared" si="156"/>
        <v>19.602083333333329</v>
      </c>
      <c r="CM273" s="180">
        <f t="shared" si="158"/>
        <v>14.821991178323925</v>
      </c>
    </row>
    <row r="274" spans="1:91" ht="10.5" customHeight="1">
      <c r="A274" s="179" t="str">
        <f t="shared" si="159"/>
        <v/>
      </c>
      <c r="B274" s="213">
        <v>4.9000000000000004</v>
      </c>
      <c r="C274" s="212"/>
      <c r="D274" s="212"/>
      <c r="E274" s="212"/>
      <c r="F274" s="212"/>
      <c r="G274" s="212"/>
      <c r="H274" s="211"/>
      <c r="I274" s="210"/>
      <c r="J274" s="210"/>
      <c r="K274" s="210"/>
      <c r="L274" s="210"/>
      <c r="M274" s="210"/>
      <c r="N274" s="210"/>
      <c r="O274" s="210"/>
      <c r="P274" s="210"/>
      <c r="Q274" s="210"/>
      <c r="R274" s="210"/>
      <c r="S274" s="209"/>
      <c r="T274" s="207"/>
      <c r="U274" s="209"/>
      <c r="V274" s="207"/>
      <c r="W274" s="206"/>
      <c r="X274" s="206"/>
      <c r="Y274" s="207"/>
      <c r="Z274" s="206"/>
      <c r="AA274" s="206"/>
      <c r="AB274" s="207"/>
      <c r="AC274" s="206"/>
      <c r="AD274" s="206"/>
      <c r="AE274" s="207"/>
      <c r="AF274" s="206"/>
      <c r="AG274" s="206"/>
      <c r="AH274" s="208"/>
      <c r="AI274" s="206"/>
      <c r="AJ274" s="206"/>
      <c r="AK274" s="207"/>
      <c r="AL274" s="206"/>
      <c r="AM274" s="206"/>
      <c r="AN274" s="207"/>
      <c r="AO274" s="206"/>
      <c r="AP274" s="206"/>
      <c r="AQ274" s="207"/>
      <c r="AR274" s="206"/>
      <c r="AS274" s="206"/>
      <c r="AT274" s="207"/>
      <c r="AU274" s="206"/>
      <c r="AV274" s="206"/>
      <c r="AW274" s="207"/>
      <c r="AX274" s="206"/>
      <c r="AY274" s="206"/>
      <c r="AZ274" s="207"/>
      <c r="BA274" s="206"/>
      <c r="BB274" s="207"/>
      <c r="BC274" s="206"/>
      <c r="BD274" s="206"/>
      <c r="BE274" s="207"/>
      <c r="BF274" s="206"/>
      <c r="BG274" s="206"/>
      <c r="BH274" s="207"/>
      <c r="BI274" s="206"/>
      <c r="BJ274" s="206"/>
      <c r="BK274" s="207"/>
      <c r="BL274" s="206"/>
      <c r="BM274" s="206"/>
      <c r="BN274" s="207"/>
      <c r="BO274" s="206"/>
      <c r="BP274" s="207"/>
      <c r="BQ274" s="206"/>
      <c r="BR274" s="206"/>
      <c r="BS274" s="207"/>
      <c r="BT274" s="206"/>
      <c r="BU274" s="207"/>
      <c r="BV274" s="206"/>
      <c r="BW274" s="207"/>
      <c r="BX274" s="206"/>
      <c r="BY274" s="207"/>
      <c r="BZ274" s="206"/>
      <c r="CA274" s="207"/>
      <c r="CB274" s="206"/>
      <c r="CC274" s="205"/>
      <c r="CD274" s="219">
        <f t="shared" si="149"/>
        <v>68.194082840236703</v>
      </c>
      <c r="CE274" s="225">
        <f t="shared" si="151"/>
        <v>60.516698172652809</v>
      </c>
      <c r="CF274" s="219">
        <f t="shared" si="153"/>
        <v>55.578703703703709</v>
      </c>
      <c r="CG274" s="225">
        <f t="shared" si="155"/>
        <v>49.882271468144062</v>
      </c>
      <c r="CH274" s="219">
        <f t="shared" si="157"/>
        <v>39.878200692041531</v>
      </c>
      <c r="CI274" s="225">
        <f t="shared" si="160"/>
        <v>34.040642722117212</v>
      </c>
      <c r="CJ274" s="219">
        <f t="shared" si="152"/>
        <v>29.397000306091218</v>
      </c>
      <c r="CK274" s="202">
        <f t="shared" si="154"/>
        <v>26.638313609467456</v>
      </c>
      <c r="CL274" s="203">
        <f t="shared" si="156"/>
        <v>20.008333333333336</v>
      </c>
      <c r="CM274" s="202">
        <f t="shared" si="158"/>
        <v>15.129174543163252</v>
      </c>
    </row>
    <row r="275" spans="1:91" ht="10.5" customHeight="1" thickBot="1">
      <c r="A275" s="179" t="str">
        <f t="shared" si="159"/>
        <v/>
      </c>
      <c r="B275" s="201">
        <v>4.95</v>
      </c>
      <c r="C275" s="200"/>
      <c r="D275" s="200"/>
      <c r="E275" s="200"/>
      <c r="F275" s="200"/>
      <c r="G275" s="200"/>
      <c r="H275" s="199"/>
      <c r="I275" s="198"/>
      <c r="J275" s="198"/>
      <c r="K275" s="198"/>
      <c r="L275" s="198"/>
      <c r="M275" s="198"/>
      <c r="N275" s="198"/>
      <c r="O275" s="198"/>
      <c r="P275" s="198"/>
      <c r="Q275" s="198"/>
      <c r="R275" s="198"/>
      <c r="S275" s="197"/>
      <c r="T275" s="194"/>
      <c r="U275" s="197"/>
      <c r="V275" s="194"/>
      <c r="W275" s="195"/>
      <c r="X275" s="195"/>
      <c r="Y275" s="194"/>
      <c r="Z275" s="195"/>
      <c r="AA275" s="195"/>
      <c r="AB275" s="194"/>
      <c r="AC275" s="195"/>
      <c r="AD275" s="195"/>
      <c r="AE275" s="194"/>
      <c r="AF275" s="195"/>
      <c r="AG275" s="195"/>
      <c r="AH275" s="196"/>
      <c r="AI275" s="195"/>
      <c r="AJ275" s="195"/>
      <c r="AK275" s="194"/>
      <c r="AL275" s="195"/>
      <c r="AM275" s="195"/>
      <c r="AN275" s="194"/>
      <c r="AO275" s="195"/>
      <c r="AP275" s="195"/>
      <c r="AQ275" s="194"/>
      <c r="AR275" s="195"/>
      <c r="AS275" s="195"/>
      <c r="AT275" s="194"/>
      <c r="AU275" s="195"/>
      <c r="AV275" s="195"/>
      <c r="AW275" s="194"/>
      <c r="AX275" s="195"/>
      <c r="AY275" s="195"/>
      <c r="AZ275" s="194"/>
      <c r="BA275" s="195"/>
      <c r="BB275" s="194"/>
      <c r="BC275" s="195"/>
      <c r="BD275" s="195"/>
      <c r="BE275" s="194"/>
      <c r="BF275" s="195"/>
      <c r="BG275" s="195"/>
      <c r="BH275" s="194"/>
      <c r="BI275" s="195"/>
      <c r="BJ275" s="195"/>
      <c r="BK275" s="194"/>
      <c r="BL275" s="195"/>
      <c r="BM275" s="195"/>
      <c r="BN275" s="194"/>
      <c r="BO275" s="195"/>
      <c r="BP275" s="194"/>
      <c r="BQ275" s="195"/>
      <c r="BR275" s="195"/>
      <c r="BS275" s="194"/>
      <c r="BT275" s="195"/>
      <c r="BU275" s="194"/>
      <c r="BV275" s="195"/>
      <c r="BW275" s="194"/>
      <c r="BX275" s="195"/>
      <c r="BY275" s="194"/>
      <c r="BZ275" s="195"/>
      <c r="CA275" s="194"/>
      <c r="CB275" s="195"/>
      <c r="CC275" s="228"/>
      <c r="CD275" s="227">
        <f t="shared" si="149"/>
        <v>69.592899408284026</v>
      </c>
      <c r="CE275" s="223">
        <f t="shared" si="151"/>
        <v>61.758034026465026</v>
      </c>
      <c r="CF275" s="217">
        <f t="shared" si="153"/>
        <v>56.71875</v>
      </c>
      <c r="CG275" s="223">
        <f t="shared" si="155"/>
        <v>50.905470914127434</v>
      </c>
      <c r="CH275" s="217">
        <f t="shared" si="157"/>
        <v>40.696193771626305</v>
      </c>
      <c r="CI275" s="223">
        <f t="shared" si="160"/>
        <v>34.73889413988659</v>
      </c>
      <c r="CJ275" s="234">
        <v>30</v>
      </c>
      <c r="CK275" s="191">
        <f t="shared" si="154"/>
        <v>27.184726331360942</v>
      </c>
      <c r="CL275" s="192">
        <f t="shared" si="156"/>
        <v>20.418750000000003</v>
      </c>
      <c r="CM275" s="191">
        <f t="shared" si="158"/>
        <v>15.439508506616303</v>
      </c>
    </row>
    <row r="276" spans="1:91" ht="10.5" customHeight="1">
      <c r="A276" s="179" t="str">
        <f t="shared" si="159"/>
        <v/>
      </c>
      <c r="B276" s="190">
        <v>5</v>
      </c>
      <c r="C276" s="189"/>
      <c r="D276" s="189"/>
      <c r="E276" s="189"/>
      <c r="F276" s="189"/>
      <c r="G276" s="189"/>
      <c r="H276" s="188"/>
      <c r="I276" s="187"/>
      <c r="J276" s="187"/>
      <c r="K276" s="187"/>
      <c r="L276" s="187"/>
      <c r="M276" s="187"/>
      <c r="N276" s="187"/>
      <c r="O276" s="187"/>
      <c r="P276" s="187"/>
      <c r="Q276" s="187"/>
      <c r="R276" s="187"/>
      <c r="S276" s="186"/>
      <c r="T276" s="183"/>
      <c r="U276" s="186"/>
      <c r="V276" s="183"/>
      <c r="W276" s="184"/>
      <c r="X276" s="184"/>
      <c r="Y276" s="183"/>
      <c r="Z276" s="184"/>
      <c r="AA276" s="184"/>
      <c r="AB276" s="183"/>
      <c r="AC276" s="184"/>
      <c r="AD276" s="184"/>
      <c r="AE276" s="183"/>
      <c r="AF276" s="184"/>
      <c r="AG276" s="184"/>
      <c r="AH276" s="185"/>
      <c r="AI276" s="184"/>
      <c r="AJ276" s="184"/>
      <c r="AK276" s="183"/>
      <c r="AL276" s="184"/>
      <c r="AM276" s="184"/>
      <c r="AN276" s="183"/>
      <c r="AO276" s="184"/>
      <c r="AP276" s="184"/>
      <c r="AQ276" s="183"/>
      <c r="AR276" s="184"/>
      <c r="AS276" s="184"/>
      <c r="AT276" s="183"/>
      <c r="AU276" s="184"/>
      <c r="AV276" s="184"/>
      <c r="AW276" s="183"/>
      <c r="AX276" s="184"/>
      <c r="AY276" s="184"/>
      <c r="AZ276" s="183"/>
      <c r="BA276" s="184"/>
      <c r="BB276" s="183"/>
      <c r="BC276" s="184"/>
      <c r="BD276" s="184"/>
      <c r="BE276" s="183"/>
      <c r="BF276" s="184"/>
      <c r="BG276" s="184"/>
      <c r="BH276" s="183"/>
      <c r="BI276" s="184"/>
      <c r="BJ276" s="184"/>
      <c r="BK276" s="183"/>
      <c r="BL276" s="184"/>
      <c r="BM276" s="184"/>
      <c r="BN276" s="183"/>
      <c r="BO276" s="184"/>
      <c r="BP276" s="183"/>
      <c r="BQ276" s="184"/>
      <c r="BR276" s="184"/>
      <c r="BS276" s="183"/>
      <c r="BT276" s="184"/>
      <c r="BU276" s="183"/>
      <c r="BV276" s="184"/>
      <c r="BW276" s="183"/>
      <c r="BX276" s="184"/>
      <c r="BY276" s="183"/>
      <c r="BZ276" s="184"/>
      <c r="CA276" s="183"/>
      <c r="CB276" s="184"/>
      <c r="CC276" s="183"/>
      <c r="CD276" s="232"/>
      <c r="CE276" s="221">
        <f t="shared" si="151"/>
        <v>63.011972274732202</v>
      </c>
      <c r="CF276" s="214">
        <f t="shared" si="153"/>
        <v>57.870370370370367</v>
      </c>
      <c r="CG276" s="221">
        <f t="shared" si="155"/>
        <v>51.93905817174516</v>
      </c>
      <c r="CH276" s="214">
        <f t="shared" si="157"/>
        <v>41.522491349480973</v>
      </c>
      <c r="CI276" s="221">
        <f t="shared" si="160"/>
        <v>35.444234404536871</v>
      </c>
      <c r="CJ276" s="214">
        <f t="shared" ref="CJ276:CJ302" si="161" xml:space="preserve"> 30*(B276/B$275)^2</f>
        <v>30.609121518212433</v>
      </c>
      <c r="CK276" s="180">
        <f t="shared" si="154"/>
        <v>27.736686390532537</v>
      </c>
      <c r="CL276" s="181">
        <f t="shared" si="156"/>
        <v>20.833333333333336</v>
      </c>
      <c r="CM276" s="180">
        <f t="shared" si="158"/>
        <v>15.752993068683097</v>
      </c>
    </row>
    <row r="277" spans="1:91" ht="10.5" customHeight="1">
      <c r="A277" s="179" t="str">
        <f t="shared" si="159"/>
        <v/>
      </c>
      <c r="B277" s="190">
        <v>5.0999999999999996</v>
      </c>
      <c r="C277" s="189"/>
      <c r="D277" s="189"/>
      <c r="E277" s="189"/>
      <c r="F277" s="189"/>
      <c r="G277" s="189"/>
      <c r="H277" s="188"/>
      <c r="I277" s="187"/>
      <c r="J277" s="187"/>
      <c r="K277" s="187"/>
      <c r="L277" s="187"/>
      <c r="M277" s="187"/>
      <c r="N277" s="187"/>
      <c r="O277" s="187"/>
      <c r="P277" s="187"/>
      <c r="Q277" s="187"/>
      <c r="R277" s="187"/>
      <c r="S277" s="186"/>
      <c r="T277" s="183"/>
      <c r="U277" s="186"/>
      <c r="V277" s="183"/>
      <c r="W277" s="184"/>
      <c r="X277" s="184"/>
      <c r="Y277" s="183"/>
      <c r="Z277" s="184"/>
      <c r="AA277" s="184"/>
      <c r="AB277" s="183"/>
      <c r="AC277" s="184"/>
      <c r="AD277" s="184"/>
      <c r="AE277" s="183"/>
      <c r="AF277" s="184"/>
      <c r="AG277" s="184"/>
      <c r="AH277" s="185"/>
      <c r="AI277" s="184"/>
      <c r="AJ277" s="184"/>
      <c r="AK277" s="183"/>
      <c r="AL277" s="184"/>
      <c r="AM277" s="184"/>
      <c r="AN277" s="183"/>
      <c r="AO277" s="184"/>
      <c r="AP277" s="184"/>
      <c r="AQ277" s="183"/>
      <c r="AR277" s="184"/>
      <c r="AS277" s="184"/>
      <c r="AT277" s="183"/>
      <c r="AU277" s="184"/>
      <c r="AV277" s="184"/>
      <c r="AW277" s="183"/>
      <c r="AX277" s="184"/>
      <c r="AY277" s="184"/>
      <c r="AZ277" s="183"/>
      <c r="BA277" s="184"/>
      <c r="BB277" s="183"/>
      <c r="BC277" s="184"/>
      <c r="BD277" s="184"/>
      <c r="BE277" s="183"/>
      <c r="BF277" s="184"/>
      <c r="BG277" s="184"/>
      <c r="BH277" s="183"/>
      <c r="BI277" s="184"/>
      <c r="BJ277" s="184"/>
      <c r="BK277" s="183"/>
      <c r="BL277" s="184"/>
      <c r="BM277" s="184"/>
      <c r="BN277" s="183"/>
      <c r="BO277" s="184"/>
      <c r="BP277" s="183"/>
      <c r="BQ277" s="184"/>
      <c r="BR277" s="184"/>
      <c r="BS277" s="183"/>
      <c r="BT277" s="184"/>
      <c r="BU277" s="183"/>
      <c r="BV277" s="184"/>
      <c r="BW277" s="183"/>
      <c r="BX277" s="184"/>
      <c r="BY277" s="183"/>
      <c r="BZ277" s="184"/>
      <c r="CA277" s="183"/>
      <c r="CB277" s="184"/>
      <c r="CC277" s="183"/>
      <c r="CD277" s="182"/>
      <c r="CE277" s="221">
        <f t="shared" si="151"/>
        <v>65.557655954631372</v>
      </c>
      <c r="CF277" s="214">
        <f t="shared" si="153"/>
        <v>60.208333333333329</v>
      </c>
      <c r="CG277" s="221">
        <f t="shared" si="155"/>
        <v>54.037396121883653</v>
      </c>
      <c r="CH277" s="214">
        <f t="shared" si="157"/>
        <v>43.199999999999996</v>
      </c>
      <c r="CI277" s="221">
        <f t="shared" si="160"/>
        <v>36.876181474480148</v>
      </c>
      <c r="CJ277" s="214">
        <f t="shared" si="161"/>
        <v>31.84573002754821</v>
      </c>
      <c r="CK277" s="180">
        <f t="shared" si="154"/>
        <v>28.857248520710051</v>
      </c>
      <c r="CL277" s="181">
        <f t="shared" si="156"/>
        <v>21.674999999999997</v>
      </c>
      <c r="CM277" s="180">
        <f t="shared" si="158"/>
        <v>16.389413988657893</v>
      </c>
    </row>
    <row r="278" spans="1:91" ht="10.5" customHeight="1">
      <c r="A278" s="179" t="str">
        <f t="shared" si="159"/>
        <v/>
      </c>
      <c r="B278" s="213">
        <v>5.2</v>
      </c>
      <c r="C278" s="212"/>
      <c r="D278" s="212"/>
      <c r="E278" s="212"/>
      <c r="F278" s="212"/>
      <c r="G278" s="212"/>
      <c r="H278" s="211"/>
      <c r="I278" s="210"/>
      <c r="J278" s="210"/>
      <c r="K278" s="210"/>
      <c r="L278" s="210"/>
      <c r="M278" s="210"/>
      <c r="N278" s="210"/>
      <c r="O278" s="210"/>
      <c r="P278" s="210"/>
      <c r="Q278" s="210"/>
      <c r="R278" s="210"/>
      <c r="S278" s="209"/>
      <c r="T278" s="207"/>
      <c r="U278" s="209"/>
      <c r="V278" s="207"/>
      <c r="W278" s="206"/>
      <c r="X278" s="206"/>
      <c r="Y278" s="207"/>
      <c r="Z278" s="206"/>
      <c r="AA278" s="206"/>
      <c r="AB278" s="207"/>
      <c r="AC278" s="206"/>
      <c r="AD278" s="206"/>
      <c r="AE278" s="207"/>
      <c r="AF278" s="206"/>
      <c r="AG278" s="206"/>
      <c r="AH278" s="208"/>
      <c r="AI278" s="206"/>
      <c r="AJ278" s="206"/>
      <c r="AK278" s="207"/>
      <c r="AL278" s="206"/>
      <c r="AM278" s="206"/>
      <c r="AN278" s="207"/>
      <c r="AO278" s="206"/>
      <c r="AP278" s="206"/>
      <c r="AQ278" s="207"/>
      <c r="AR278" s="206"/>
      <c r="AS278" s="206"/>
      <c r="AT278" s="207"/>
      <c r="AU278" s="206"/>
      <c r="AV278" s="206"/>
      <c r="AW278" s="207"/>
      <c r="AX278" s="206"/>
      <c r="AY278" s="206"/>
      <c r="AZ278" s="207"/>
      <c r="BA278" s="206"/>
      <c r="BB278" s="207"/>
      <c r="BC278" s="206"/>
      <c r="BD278" s="206"/>
      <c r="BE278" s="207"/>
      <c r="BF278" s="206"/>
      <c r="BG278" s="206"/>
      <c r="BH278" s="207"/>
      <c r="BI278" s="206"/>
      <c r="BJ278" s="206"/>
      <c r="BK278" s="207"/>
      <c r="BL278" s="206"/>
      <c r="BM278" s="206"/>
      <c r="BN278" s="207"/>
      <c r="BO278" s="206"/>
      <c r="BP278" s="207"/>
      <c r="BQ278" s="206"/>
      <c r="BR278" s="206"/>
      <c r="BS278" s="207"/>
      <c r="BT278" s="206"/>
      <c r="BU278" s="207"/>
      <c r="BV278" s="206"/>
      <c r="BW278" s="207"/>
      <c r="BX278" s="206"/>
      <c r="BY278" s="207"/>
      <c r="BZ278" s="206"/>
      <c r="CA278" s="207"/>
      <c r="CB278" s="206"/>
      <c r="CC278" s="207"/>
      <c r="CD278" s="226"/>
      <c r="CE278" s="225">
        <f t="shared" si="151"/>
        <v>68.153749212350348</v>
      </c>
      <c r="CF278" s="219">
        <f t="shared" si="153"/>
        <v>62.592592592592588</v>
      </c>
      <c r="CG278" s="225">
        <f t="shared" si="155"/>
        <v>56.177285318559562</v>
      </c>
      <c r="CH278" s="219">
        <f t="shared" si="157"/>
        <v>44.910726643598622</v>
      </c>
      <c r="CI278" s="225">
        <f t="shared" si="160"/>
        <v>38.336483931947079</v>
      </c>
      <c r="CJ278" s="219">
        <f t="shared" si="161"/>
        <v>33.106825834098572</v>
      </c>
      <c r="CK278" s="233">
        <v>30</v>
      </c>
      <c r="CL278" s="203">
        <f t="shared" si="156"/>
        <v>22.533333333333335</v>
      </c>
      <c r="CM278" s="202">
        <f t="shared" si="158"/>
        <v>17.038437303087637</v>
      </c>
    </row>
    <row r="279" spans="1:91" ht="10.5" customHeight="1" thickBot="1">
      <c r="A279" s="179" t="str">
        <f t="shared" si="159"/>
        <v/>
      </c>
      <c r="B279" s="201">
        <v>5.3</v>
      </c>
      <c r="C279" s="200"/>
      <c r="D279" s="200"/>
      <c r="E279" s="200"/>
      <c r="F279" s="200"/>
      <c r="G279" s="200"/>
      <c r="H279" s="199"/>
      <c r="I279" s="198"/>
      <c r="J279" s="198"/>
      <c r="K279" s="198"/>
      <c r="L279" s="198"/>
      <c r="M279" s="198"/>
      <c r="N279" s="198"/>
      <c r="O279" s="198"/>
      <c r="P279" s="198"/>
      <c r="Q279" s="198"/>
      <c r="R279" s="198"/>
      <c r="S279" s="197"/>
      <c r="T279" s="194"/>
      <c r="U279" s="197"/>
      <c r="V279" s="194"/>
      <c r="W279" s="195"/>
      <c r="X279" s="195"/>
      <c r="Y279" s="194"/>
      <c r="Z279" s="195"/>
      <c r="AA279" s="195"/>
      <c r="AB279" s="194"/>
      <c r="AC279" s="195"/>
      <c r="AD279" s="195"/>
      <c r="AE279" s="194"/>
      <c r="AF279" s="195"/>
      <c r="AG279" s="195"/>
      <c r="AH279" s="196"/>
      <c r="AI279" s="195"/>
      <c r="AJ279" s="195"/>
      <c r="AK279" s="194"/>
      <c r="AL279" s="195"/>
      <c r="AM279" s="195"/>
      <c r="AN279" s="194"/>
      <c r="AO279" s="195"/>
      <c r="AP279" s="195"/>
      <c r="AQ279" s="194"/>
      <c r="AR279" s="195"/>
      <c r="AS279" s="195"/>
      <c r="AT279" s="194"/>
      <c r="AU279" s="195"/>
      <c r="AV279" s="195"/>
      <c r="AW279" s="194"/>
      <c r="AX279" s="195"/>
      <c r="AY279" s="195"/>
      <c r="AZ279" s="194"/>
      <c r="BA279" s="195"/>
      <c r="BB279" s="194"/>
      <c r="BC279" s="195"/>
      <c r="BD279" s="195"/>
      <c r="BE279" s="194"/>
      <c r="BF279" s="195"/>
      <c r="BG279" s="195"/>
      <c r="BH279" s="194"/>
      <c r="BI279" s="195"/>
      <c r="BJ279" s="195"/>
      <c r="BK279" s="194"/>
      <c r="BL279" s="195"/>
      <c r="BM279" s="195"/>
      <c r="BN279" s="194"/>
      <c r="BO279" s="195"/>
      <c r="BP279" s="194"/>
      <c r="BQ279" s="195"/>
      <c r="BR279" s="195"/>
      <c r="BS279" s="194"/>
      <c r="BT279" s="195"/>
      <c r="BU279" s="194"/>
      <c r="BV279" s="195"/>
      <c r="BW279" s="194"/>
      <c r="BX279" s="195"/>
      <c r="BY279" s="194"/>
      <c r="BZ279" s="195"/>
      <c r="CA279" s="194"/>
      <c r="CB279" s="195"/>
      <c r="CC279" s="194"/>
      <c r="CD279" s="224"/>
      <c r="CE279" s="220">
        <f t="shared" si="151"/>
        <v>70.800252047889089</v>
      </c>
      <c r="CF279" s="217">
        <f t="shared" si="153"/>
        <v>65.023148148148138</v>
      </c>
      <c r="CG279" s="223">
        <f t="shared" si="155"/>
        <v>58.35872576177286</v>
      </c>
      <c r="CH279" s="217">
        <f t="shared" si="157"/>
        <v>46.654671280276816</v>
      </c>
      <c r="CI279" s="223">
        <f t="shared" si="160"/>
        <v>39.82514177693762</v>
      </c>
      <c r="CJ279" s="217">
        <f t="shared" si="161"/>
        <v>34.392408937863479</v>
      </c>
      <c r="CK279" s="191">
        <f t="shared" ref="CK279:CK306" si="162" xml:space="preserve"> 30*(B279/B$278)^2</f>
        <v>31.164940828402365</v>
      </c>
      <c r="CL279" s="192">
        <f t="shared" si="156"/>
        <v>23.408333333333331</v>
      </c>
      <c r="CM279" s="191">
        <f t="shared" si="158"/>
        <v>17.700063011972325</v>
      </c>
    </row>
    <row r="280" spans="1:91" ht="10.5" customHeight="1">
      <c r="A280" s="179" t="str">
        <f t="shared" si="159"/>
        <v/>
      </c>
      <c r="B280" s="190">
        <v>5.4</v>
      </c>
      <c r="C280" s="189"/>
      <c r="D280" s="189"/>
      <c r="E280" s="189"/>
      <c r="F280" s="189"/>
      <c r="G280" s="189"/>
      <c r="H280" s="188"/>
      <c r="I280" s="187"/>
      <c r="J280" s="187"/>
      <c r="K280" s="187"/>
      <c r="L280" s="187"/>
      <c r="M280" s="187"/>
      <c r="N280" s="187"/>
      <c r="O280" s="187"/>
      <c r="P280" s="187"/>
      <c r="Q280" s="187"/>
      <c r="R280" s="187"/>
      <c r="S280" s="186"/>
      <c r="T280" s="183"/>
      <c r="U280" s="186"/>
      <c r="V280" s="183"/>
      <c r="W280" s="184"/>
      <c r="X280" s="184"/>
      <c r="Y280" s="183"/>
      <c r="Z280" s="184"/>
      <c r="AA280" s="184"/>
      <c r="AB280" s="183"/>
      <c r="AC280" s="184"/>
      <c r="AD280" s="184"/>
      <c r="AE280" s="183"/>
      <c r="AF280" s="184"/>
      <c r="AG280" s="184"/>
      <c r="AH280" s="185"/>
      <c r="AI280" s="184"/>
      <c r="AJ280" s="184"/>
      <c r="AK280" s="183"/>
      <c r="AL280" s="184"/>
      <c r="AM280" s="184"/>
      <c r="AN280" s="183"/>
      <c r="AO280" s="184"/>
      <c r="AP280" s="184"/>
      <c r="AQ280" s="183"/>
      <c r="AR280" s="184"/>
      <c r="AS280" s="184"/>
      <c r="AT280" s="183"/>
      <c r="AU280" s="184"/>
      <c r="AV280" s="184"/>
      <c r="AW280" s="183"/>
      <c r="AX280" s="184"/>
      <c r="AY280" s="184"/>
      <c r="AZ280" s="183"/>
      <c r="BA280" s="184"/>
      <c r="BB280" s="183"/>
      <c r="BC280" s="184"/>
      <c r="BD280" s="184"/>
      <c r="BE280" s="183"/>
      <c r="BF280" s="184"/>
      <c r="BG280" s="184"/>
      <c r="BH280" s="183"/>
      <c r="BI280" s="184"/>
      <c r="BJ280" s="184"/>
      <c r="BK280" s="183"/>
      <c r="BL280" s="184"/>
      <c r="BM280" s="184"/>
      <c r="BN280" s="183"/>
      <c r="BO280" s="184"/>
      <c r="BP280" s="183"/>
      <c r="BQ280" s="184"/>
      <c r="BR280" s="184"/>
      <c r="BS280" s="183"/>
      <c r="BT280" s="184"/>
      <c r="BU280" s="183"/>
      <c r="BV280" s="184"/>
      <c r="BW280" s="183"/>
      <c r="BX280" s="184"/>
      <c r="BY280" s="183"/>
      <c r="BZ280" s="184"/>
      <c r="CA280" s="183"/>
      <c r="CB280" s="184"/>
      <c r="CC280" s="183"/>
      <c r="CD280" s="184"/>
      <c r="CE280" s="216"/>
      <c r="CF280" s="214">
        <f t="shared" si="153"/>
        <v>67.5</v>
      </c>
      <c r="CG280" s="221">
        <f t="shared" si="155"/>
        <v>60.581717451523559</v>
      </c>
      <c r="CH280" s="214">
        <f t="shared" si="157"/>
        <v>48.431833910034612</v>
      </c>
      <c r="CI280" s="221">
        <f t="shared" si="160"/>
        <v>41.342155009451801</v>
      </c>
      <c r="CJ280" s="214">
        <f t="shared" si="161"/>
        <v>35.702479338842984</v>
      </c>
      <c r="CK280" s="180">
        <f t="shared" si="162"/>
        <v>32.352071005917168</v>
      </c>
      <c r="CL280" s="181">
        <f t="shared" si="156"/>
        <v>24.3</v>
      </c>
      <c r="CM280" s="180">
        <f t="shared" si="158"/>
        <v>18.374291115311969</v>
      </c>
    </row>
    <row r="281" spans="1:91" ht="10.5" customHeight="1" thickBot="1">
      <c r="A281" s="179" t="str">
        <f t="shared" si="159"/>
        <v/>
      </c>
      <c r="B281" s="190">
        <v>5.5</v>
      </c>
      <c r="C281" s="189"/>
      <c r="D281" s="189"/>
      <c r="E281" s="189"/>
      <c r="F281" s="189"/>
      <c r="G281" s="189"/>
      <c r="H281" s="188"/>
      <c r="I281" s="187"/>
      <c r="J281" s="187"/>
      <c r="K281" s="187"/>
      <c r="L281" s="187"/>
      <c r="M281" s="187"/>
      <c r="N281" s="187"/>
      <c r="O281" s="187"/>
      <c r="P281" s="187"/>
      <c r="Q281" s="187"/>
      <c r="R281" s="187"/>
      <c r="S281" s="186"/>
      <c r="T281" s="183"/>
      <c r="U281" s="186"/>
      <c r="V281" s="183"/>
      <c r="W281" s="184"/>
      <c r="X281" s="184"/>
      <c r="Y281" s="183"/>
      <c r="Z281" s="184"/>
      <c r="AA281" s="184"/>
      <c r="AB281" s="183"/>
      <c r="AC281" s="184"/>
      <c r="AD281" s="184"/>
      <c r="AE281" s="183"/>
      <c r="AF281" s="184"/>
      <c r="AG281" s="184"/>
      <c r="AH281" s="185"/>
      <c r="AI281" s="184"/>
      <c r="AJ281" s="184"/>
      <c r="AK281" s="183"/>
      <c r="AL281" s="184"/>
      <c r="AM281" s="184"/>
      <c r="AN281" s="183"/>
      <c r="AO281" s="184"/>
      <c r="AP281" s="184"/>
      <c r="AQ281" s="183"/>
      <c r="AR281" s="184"/>
      <c r="AS281" s="184"/>
      <c r="AT281" s="183"/>
      <c r="AU281" s="184"/>
      <c r="AV281" s="184"/>
      <c r="AW281" s="183"/>
      <c r="AX281" s="184"/>
      <c r="AY281" s="184"/>
      <c r="AZ281" s="183"/>
      <c r="BA281" s="184"/>
      <c r="BB281" s="183"/>
      <c r="BC281" s="184"/>
      <c r="BD281" s="184"/>
      <c r="BE281" s="183"/>
      <c r="BF281" s="184"/>
      <c r="BG281" s="184"/>
      <c r="BH281" s="183"/>
      <c r="BI281" s="184"/>
      <c r="BJ281" s="184"/>
      <c r="BK281" s="183"/>
      <c r="BL281" s="184"/>
      <c r="BM281" s="184"/>
      <c r="BN281" s="183"/>
      <c r="BO281" s="184"/>
      <c r="BP281" s="183"/>
      <c r="BQ281" s="184"/>
      <c r="BR281" s="184"/>
      <c r="BS281" s="183"/>
      <c r="BT281" s="184"/>
      <c r="BU281" s="183"/>
      <c r="BV281" s="184"/>
      <c r="BW281" s="183"/>
      <c r="BX281" s="184"/>
      <c r="BY281" s="183"/>
      <c r="BZ281" s="184"/>
      <c r="CA281" s="183"/>
      <c r="CB281" s="184"/>
      <c r="CC281" s="183"/>
      <c r="CD281" s="184"/>
      <c r="CE281" s="216"/>
      <c r="CF281" s="227">
        <f t="shared" si="153"/>
        <v>70.023148148148138</v>
      </c>
      <c r="CG281" s="221">
        <f t="shared" si="155"/>
        <v>62.84626038781164</v>
      </c>
      <c r="CH281" s="214">
        <f t="shared" si="157"/>
        <v>50.242214532871976</v>
      </c>
      <c r="CI281" s="221">
        <f t="shared" si="160"/>
        <v>42.887523629489614</v>
      </c>
      <c r="CJ281" s="214">
        <f t="shared" si="161"/>
        <v>37.037037037037038</v>
      </c>
      <c r="CK281" s="180">
        <f t="shared" si="162"/>
        <v>33.56139053254438</v>
      </c>
      <c r="CL281" s="181">
        <f t="shared" si="156"/>
        <v>25.208333333333329</v>
      </c>
      <c r="CM281" s="180">
        <f t="shared" si="158"/>
        <v>19.061121613106547</v>
      </c>
    </row>
    <row r="282" spans="1:91" ht="10.5" customHeight="1">
      <c r="A282" s="179" t="str">
        <f t="shared" si="159"/>
        <v/>
      </c>
      <c r="B282" s="213">
        <v>5.6</v>
      </c>
      <c r="C282" s="212"/>
      <c r="D282" s="212"/>
      <c r="E282" s="212"/>
      <c r="F282" s="212"/>
      <c r="G282" s="212"/>
      <c r="H282" s="211"/>
      <c r="I282" s="210"/>
      <c r="J282" s="210"/>
      <c r="K282" s="210"/>
      <c r="L282" s="210"/>
      <c r="M282" s="210"/>
      <c r="N282" s="210"/>
      <c r="O282" s="210"/>
      <c r="P282" s="210"/>
      <c r="Q282" s="210"/>
      <c r="R282" s="210"/>
      <c r="S282" s="209"/>
      <c r="T282" s="207"/>
      <c r="U282" s="209"/>
      <c r="V282" s="207"/>
      <c r="W282" s="206"/>
      <c r="X282" s="206"/>
      <c r="Y282" s="207"/>
      <c r="Z282" s="206"/>
      <c r="AA282" s="206"/>
      <c r="AB282" s="207"/>
      <c r="AC282" s="206"/>
      <c r="AD282" s="206"/>
      <c r="AE282" s="207"/>
      <c r="AF282" s="206"/>
      <c r="AG282" s="206"/>
      <c r="AH282" s="208"/>
      <c r="AI282" s="206"/>
      <c r="AJ282" s="206"/>
      <c r="AK282" s="207"/>
      <c r="AL282" s="206"/>
      <c r="AM282" s="206"/>
      <c r="AN282" s="207"/>
      <c r="AO282" s="206"/>
      <c r="AP282" s="206"/>
      <c r="AQ282" s="207"/>
      <c r="AR282" s="206"/>
      <c r="AS282" s="206"/>
      <c r="AT282" s="207"/>
      <c r="AU282" s="206"/>
      <c r="AV282" s="206"/>
      <c r="AW282" s="207"/>
      <c r="AX282" s="206"/>
      <c r="AY282" s="206"/>
      <c r="AZ282" s="207"/>
      <c r="BA282" s="206"/>
      <c r="BB282" s="207"/>
      <c r="BC282" s="206"/>
      <c r="BD282" s="206"/>
      <c r="BE282" s="207"/>
      <c r="BF282" s="206"/>
      <c r="BG282" s="206"/>
      <c r="BH282" s="207"/>
      <c r="BI282" s="206"/>
      <c r="BJ282" s="206"/>
      <c r="BK282" s="207"/>
      <c r="BL282" s="206"/>
      <c r="BM282" s="206"/>
      <c r="BN282" s="207"/>
      <c r="BO282" s="206"/>
      <c r="BP282" s="207"/>
      <c r="BQ282" s="206"/>
      <c r="BR282" s="206"/>
      <c r="BS282" s="207"/>
      <c r="BT282" s="206"/>
      <c r="BU282" s="207"/>
      <c r="BV282" s="206"/>
      <c r="BW282" s="207"/>
      <c r="BX282" s="206"/>
      <c r="BY282" s="207"/>
      <c r="BZ282" s="206"/>
      <c r="CA282" s="207"/>
      <c r="CB282" s="206"/>
      <c r="CC282" s="207"/>
      <c r="CD282" s="206"/>
      <c r="CE282" s="208"/>
      <c r="CF282" s="232"/>
      <c r="CG282" s="225">
        <f t="shared" si="155"/>
        <v>65.152354570637115</v>
      </c>
      <c r="CH282" s="219">
        <f t="shared" si="157"/>
        <v>52.08581314878893</v>
      </c>
      <c r="CI282" s="225">
        <f t="shared" si="160"/>
        <v>44.461247637051045</v>
      </c>
      <c r="CJ282" s="219">
        <f t="shared" si="161"/>
        <v>38.396082032445662</v>
      </c>
      <c r="CK282" s="202">
        <f t="shared" si="162"/>
        <v>34.792899408284022</v>
      </c>
      <c r="CL282" s="203">
        <f t="shared" si="156"/>
        <v>26.133333333333329</v>
      </c>
      <c r="CM282" s="202">
        <f t="shared" si="158"/>
        <v>19.760554505356072</v>
      </c>
    </row>
    <row r="283" spans="1:91" ht="10.5" customHeight="1">
      <c r="A283" s="179" t="str">
        <f t="shared" si="159"/>
        <v/>
      </c>
      <c r="B283" s="201">
        <v>5.7</v>
      </c>
      <c r="C283" s="200"/>
      <c r="D283" s="200"/>
      <c r="E283" s="200"/>
      <c r="F283" s="200"/>
      <c r="G283" s="200"/>
      <c r="H283" s="199"/>
      <c r="I283" s="198"/>
      <c r="J283" s="198"/>
      <c r="K283" s="198"/>
      <c r="L283" s="198"/>
      <c r="M283" s="198"/>
      <c r="N283" s="198"/>
      <c r="O283" s="198"/>
      <c r="P283" s="198"/>
      <c r="Q283" s="198"/>
      <c r="R283" s="198"/>
      <c r="S283" s="197"/>
      <c r="T283" s="194"/>
      <c r="U283" s="197"/>
      <c r="V283" s="194"/>
      <c r="W283" s="195"/>
      <c r="X283" s="195"/>
      <c r="Y283" s="194"/>
      <c r="Z283" s="195"/>
      <c r="AA283" s="195"/>
      <c r="AB283" s="194"/>
      <c r="AC283" s="195"/>
      <c r="AD283" s="195"/>
      <c r="AE283" s="194"/>
      <c r="AF283" s="195"/>
      <c r="AG283" s="195"/>
      <c r="AH283" s="196"/>
      <c r="AI283" s="195"/>
      <c r="AJ283" s="195"/>
      <c r="AK283" s="194"/>
      <c r="AL283" s="195"/>
      <c r="AM283" s="195"/>
      <c r="AN283" s="194"/>
      <c r="AO283" s="195"/>
      <c r="AP283" s="195"/>
      <c r="AQ283" s="194"/>
      <c r="AR283" s="195"/>
      <c r="AS283" s="195"/>
      <c r="AT283" s="194"/>
      <c r="AU283" s="195"/>
      <c r="AV283" s="195"/>
      <c r="AW283" s="194"/>
      <c r="AX283" s="195"/>
      <c r="AY283" s="195"/>
      <c r="AZ283" s="194"/>
      <c r="BA283" s="195"/>
      <c r="BB283" s="194"/>
      <c r="BC283" s="195"/>
      <c r="BD283" s="195"/>
      <c r="BE283" s="194"/>
      <c r="BF283" s="195"/>
      <c r="BG283" s="195"/>
      <c r="BH283" s="194"/>
      <c r="BI283" s="195"/>
      <c r="BJ283" s="195"/>
      <c r="BK283" s="194"/>
      <c r="BL283" s="195"/>
      <c r="BM283" s="195"/>
      <c r="BN283" s="194"/>
      <c r="BO283" s="195"/>
      <c r="BP283" s="194"/>
      <c r="BQ283" s="195"/>
      <c r="BR283" s="195"/>
      <c r="BS283" s="194"/>
      <c r="BT283" s="195"/>
      <c r="BU283" s="194"/>
      <c r="BV283" s="195"/>
      <c r="BW283" s="194"/>
      <c r="BX283" s="195"/>
      <c r="BY283" s="194"/>
      <c r="BZ283" s="195"/>
      <c r="CA283" s="194"/>
      <c r="CB283" s="195"/>
      <c r="CC283" s="194"/>
      <c r="CD283" s="195"/>
      <c r="CE283" s="194"/>
      <c r="CF283" s="193"/>
      <c r="CG283" s="223">
        <f t="shared" si="155"/>
        <v>67.500000000000028</v>
      </c>
      <c r="CH283" s="217">
        <f t="shared" si="157"/>
        <v>53.962629757785479</v>
      </c>
      <c r="CI283" s="223">
        <f t="shared" si="160"/>
        <v>46.063327032136122</v>
      </c>
      <c r="CJ283" s="217">
        <f t="shared" si="161"/>
        <v>39.779614325068877</v>
      </c>
      <c r="CK283" s="191">
        <f t="shared" si="162"/>
        <v>36.046597633136102</v>
      </c>
      <c r="CL283" s="192">
        <f t="shared" si="156"/>
        <v>27.075000000000003</v>
      </c>
      <c r="CM283" s="191">
        <f t="shared" si="158"/>
        <v>20.472589792060553</v>
      </c>
    </row>
    <row r="284" spans="1:91" ht="10.5" customHeight="1" thickBot="1">
      <c r="A284" s="179" t="str">
        <f t="shared" si="159"/>
        <v/>
      </c>
      <c r="B284" s="190">
        <v>5.8</v>
      </c>
      <c r="C284" s="189"/>
      <c r="D284" s="189"/>
      <c r="E284" s="189"/>
      <c r="F284" s="189"/>
      <c r="G284" s="189"/>
      <c r="H284" s="188"/>
      <c r="I284" s="187"/>
      <c r="J284" s="187"/>
      <c r="K284" s="187"/>
      <c r="L284" s="187"/>
      <c r="M284" s="187"/>
      <c r="N284" s="187"/>
      <c r="O284" s="187"/>
      <c r="P284" s="187"/>
      <c r="Q284" s="187"/>
      <c r="R284" s="187"/>
      <c r="S284" s="186"/>
      <c r="T284" s="183"/>
      <c r="U284" s="186"/>
      <c r="V284" s="183"/>
      <c r="W284" s="184"/>
      <c r="X284" s="184"/>
      <c r="Y284" s="183"/>
      <c r="Z284" s="184"/>
      <c r="AA284" s="184"/>
      <c r="AB284" s="183"/>
      <c r="AC284" s="184"/>
      <c r="AD284" s="184"/>
      <c r="AE284" s="183"/>
      <c r="AF284" s="184"/>
      <c r="AG284" s="184"/>
      <c r="AH284" s="185"/>
      <c r="AI284" s="184"/>
      <c r="AJ284" s="184"/>
      <c r="AK284" s="183"/>
      <c r="AL284" s="184"/>
      <c r="AM284" s="184"/>
      <c r="AN284" s="183"/>
      <c r="AO284" s="184"/>
      <c r="AP284" s="184"/>
      <c r="AQ284" s="183"/>
      <c r="AR284" s="184"/>
      <c r="AS284" s="184"/>
      <c r="AT284" s="183"/>
      <c r="AU284" s="184"/>
      <c r="AV284" s="184"/>
      <c r="AW284" s="183"/>
      <c r="AX284" s="184"/>
      <c r="AY284" s="184"/>
      <c r="AZ284" s="183"/>
      <c r="BA284" s="184"/>
      <c r="BB284" s="183"/>
      <c r="BC284" s="184"/>
      <c r="BD284" s="184"/>
      <c r="BE284" s="183"/>
      <c r="BF284" s="184"/>
      <c r="BG284" s="184"/>
      <c r="BH284" s="183"/>
      <c r="BI284" s="184"/>
      <c r="BJ284" s="184"/>
      <c r="BK284" s="183"/>
      <c r="BL284" s="184"/>
      <c r="BM284" s="184"/>
      <c r="BN284" s="183"/>
      <c r="BO284" s="184"/>
      <c r="BP284" s="183"/>
      <c r="BQ284" s="184"/>
      <c r="BR284" s="184"/>
      <c r="BS284" s="183"/>
      <c r="BT284" s="184"/>
      <c r="BU284" s="183"/>
      <c r="BV284" s="184"/>
      <c r="BW284" s="183"/>
      <c r="BX284" s="184"/>
      <c r="BY284" s="183"/>
      <c r="BZ284" s="184"/>
      <c r="CA284" s="183"/>
      <c r="CB284" s="184"/>
      <c r="CC284" s="183"/>
      <c r="CD284" s="184"/>
      <c r="CE284" s="183"/>
      <c r="CF284" s="232"/>
      <c r="CG284" s="220">
        <f t="shared" si="155"/>
        <v>69.88919667590028</v>
      </c>
      <c r="CH284" s="214">
        <f t="shared" si="157"/>
        <v>55.872664359861595</v>
      </c>
      <c r="CI284" s="221">
        <f t="shared" si="160"/>
        <v>47.693761814744803</v>
      </c>
      <c r="CJ284" s="214">
        <f t="shared" si="161"/>
        <v>41.187633914906641</v>
      </c>
      <c r="CK284" s="180">
        <f t="shared" si="162"/>
        <v>37.322485207100591</v>
      </c>
      <c r="CL284" s="181">
        <f t="shared" si="156"/>
        <v>28.033333333333331</v>
      </c>
      <c r="CM284" s="180">
        <f t="shared" si="158"/>
        <v>21.197227473219971</v>
      </c>
    </row>
    <row r="285" spans="1:91" ht="10.5" customHeight="1">
      <c r="A285" s="179" t="str">
        <f t="shared" si="159"/>
        <v/>
      </c>
      <c r="B285" s="190">
        <v>5.9</v>
      </c>
      <c r="C285" s="189"/>
      <c r="D285" s="189"/>
      <c r="E285" s="189"/>
      <c r="F285" s="189"/>
      <c r="G285" s="189"/>
      <c r="H285" s="188"/>
      <c r="I285" s="187"/>
      <c r="J285" s="187"/>
      <c r="K285" s="187"/>
      <c r="L285" s="187"/>
      <c r="M285" s="187"/>
      <c r="N285" s="187"/>
      <c r="O285" s="187"/>
      <c r="P285" s="187"/>
      <c r="Q285" s="187"/>
      <c r="R285" s="187"/>
      <c r="S285" s="186"/>
      <c r="T285" s="183"/>
      <c r="U285" s="186"/>
      <c r="V285" s="183"/>
      <c r="W285" s="184"/>
      <c r="X285" s="184"/>
      <c r="Y285" s="183"/>
      <c r="Z285" s="184"/>
      <c r="AA285" s="184"/>
      <c r="AB285" s="183"/>
      <c r="AC285" s="184"/>
      <c r="AD285" s="184"/>
      <c r="AE285" s="183"/>
      <c r="AF285" s="184"/>
      <c r="AG285" s="184"/>
      <c r="AH285" s="185"/>
      <c r="AI285" s="184"/>
      <c r="AJ285" s="184"/>
      <c r="AK285" s="183"/>
      <c r="AL285" s="184"/>
      <c r="AM285" s="184"/>
      <c r="AN285" s="183"/>
      <c r="AO285" s="184"/>
      <c r="AP285" s="184"/>
      <c r="AQ285" s="183"/>
      <c r="AR285" s="184"/>
      <c r="AS285" s="184"/>
      <c r="AT285" s="183"/>
      <c r="AU285" s="184"/>
      <c r="AV285" s="184"/>
      <c r="AW285" s="183"/>
      <c r="AX285" s="184"/>
      <c r="AY285" s="184"/>
      <c r="AZ285" s="183"/>
      <c r="BA285" s="184"/>
      <c r="BB285" s="183"/>
      <c r="BC285" s="184"/>
      <c r="BD285" s="184"/>
      <c r="BE285" s="183"/>
      <c r="BF285" s="184"/>
      <c r="BG285" s="184"/>
      <c r="BH285" s="183"/>
      <c r="BI285" s="184"/>
      <c r="BJ285" s="184"/>
      <c r="BK285" s="183"/>
      <c r="BL285" s="184"/>
      <c r="BM285" s="184"/>
      <c r="BN285" s="183"/>
      <c r="BO285" s="184"/>
      <c r="BP285" s="183"/>
      <c r="BQ285" s="184"/>
      <c r="BR285" s="184"/>
      <c r="BS285" s="183"/>
      <c r="BT285" s="184"/>
      <c r="BU285" s="183"/>
      <c r="BV285" s="184"/>
      <c r="BW285" s="183"/>
      <c r="BX285" s="184"/>
      <c r="BY285" s="183"/>
      <c r="BZ285" s="184"/>
      <c r="CA285" s="183"/>
      <c r="CB285" s="184"/>
      <c r="CC285" s="183"/>
      <c r="CD285" s="184"/>
      <c r="CE285" s="183"/>
      <c r="CF285" s="231"/>
      <c r="CG285" s="216"/>
      <c r="CH285" s="214">
        <f t="shared" si="157"/>
        <v>57.815916955017315</v>
      </c>
      <c r="CI285" s="221">
        <f t="shared" si="160"/>
        <v>49.352551984877138</v>
      </c>
      <c r="CJ285" s="214">
        <f t="shared" si="161"/>
        <v>42.620140801958996</v>
      </c>
      <c r="CK285" s="180">
        <f t="shared" si="162"/>
        <v>38.620562130177511</v>
      </c>
      <c r="CL285" s="181">
        <f t="shared" si="156"/>
        <v>29.00833333333334</v>
      </c>
      <c r="CM285" s="180">
        <f t="shared" si="158"/>
        <v>21.934467548834348</v>
      </c>
    </row>
    <row r="286" spans="1:91" ht="10.5" customHeight="1">
      <c r="A286" s="179" t="str">
        <f t="shared" si="159"/>
        <v/>
      </c>
      <c r="B286" s="213">
        <v>6</v>
      </c>
      <c r="C286" s="212"/>
      <c r="D286" s="212"/>
      <c r="E286" s="212"/>
      <c r="F286" s="212"/>
      <c r="G286" s="212"/>
      <c r="H286" s="211"/>
      <c r="I286" s="210"/>
      <c r="J286" s="210"/>
      <c r="K286" s="210"/>
      <c r="L286" s="210"/>
      <c r="M286" s="210"/>
      <c r="N286" s="210"/>
      <c r="O286" s="210"/>
      <c r="P286" s="210"/>
      <c r="Q286" s="210"/>
      <c r="R286" s="210"/>
      <c r="S286" s="209"/>
      <c r="T286" s="207"/>
      <c r="U286" s="209"/>
      <c r="V286" s="207"/>
      <c r="W286" s="206"/>
      <c r="X286" s="206"/>
      <c r="Y286" s="207"/>
      <c r="Z286" s="206"/>
      <c r="AA286" s="206"/>
      <c r="AB286" s="207"/>
      <c r="AC286" s="206"/>
      <c r="AD286" s="206"/>
      <c r="AE286" s="207"/>
      <c r="AF286" s="206"/>
      <c r="AG286" s="206"/>
      <c r="AH286" s="208"/>
      <c r="AI286" s="206"/>
      <c r="AJ286" s="206"/>
      <c r="AK286" s="207"/>
      <c r="AL286" s="206"/>
      <c r="AM286" s="206"/>
      <c r="AN286" s="207"/>
      <c r="AO286" s="206"/>
      <c r="AP286" s="206"/>
      <c r="AQ286" s="207"/>
      <c r="AR286" s="206"/>
      <c r="AS286" s="206"/>
      <c r="AT286" s="207"/>
      <c r="AU286" s="206"/>
      <c r="AV286" s="206"/>
      <c r="AW286" s="207"/>
      <c r="AX286" s="206"/>
      <c r="AY286" s="206"/>
      <c r="AZ286" s="207"/>
      <c r="BA286" s="206"/>
      <c r="BB286" s="207"/>
      <c r="BC286" s="206"/>
      <c r="BD286" s="206"/>
      <c r="BE286" s="207"/>
      <c r="BF286" s="206"/>
      <c r="BG286" s="206"/>
      <c r="BH286" s="207"/>
      <c r="BI286" s="206"/>
      <c r="BJ286" s="206"/>
      <c r="BK286" s="207"/>
      <c r="BL286" s="206"/>
      <c r="BM286" s="206"/>
      <c r="BN286" s="207"/>
      <c r="BO286" s="206"/>
      <c r="BP286" s="207"/>
      <c r="BQ286" s="206"/>
      <c r="BR286" s="206"/>
      <c r="BS286" s="207"/>
      <c r="BT286" s="206"/>
      <c r="BU286" s="207"/>
      <c r="BV286" s="206"/>
      <c r="BW286" s="207"/>
      <c r="BX286" s="206"/>
      <c r="BY286" s="207"/>
      <c r="BZ286" s="206"/>
      <c r="CA286" s="207"/>
      <c r="CB286" s="206"/>
      <c r="CC286" s="207"/>
      <c r="CD286" s="206"/>
      <c r="CE286" s="207"/>
      <c r="CF286" s="206"/>
      <c r="CG286" s="230"/>
      <c r="CH286" s="219">
        <f t="shared" si="157"/>
        <v>59.792387543252602</v>
      </c>
      <c r="CI286" s="225">
        <f t="shared" si="160"/>
        <v>51.039697542533084</v>
      </c>
      <c r="CJ286" s="219">
        <f t="shared" si="161"/>
        <v>44.0771349862259</v>
      </c>
      <c r="CK286" s="202">
        <f t="shared" si="162"/>
        <v>39.940828402366854</v>
      </c>
      <c r="CL286" s="229">
        <v>30</v>
      </c>
      <c r="CM286" s="202">
        <f t="shared" si="158"/>
        <v>22.684310018903659</v>
      </c>
    </row>
    <row r="287" spans="1:91" ht="10.5" customHeight="1">
      <c r="A287" s="179" t="str">
        <f t="shared" si="159"/>
        <v/>
      </c>
      <c r="B287" s="201">
        <v>6.1</v>
      </c>
      <c r="C287" s="200"/>
      <c r="D287" s="200"/>
      <c r="E287" s="200"/>
      <c r="F287" s="200"/>
      <c r="G287" s="200"/>
      <c r="H287" s="199"/>
      <c r="I287" s="198"/>
      <c r="J287" s="198"/>
      <c r="K287" s="198"/>
      <c r="L287" s="198"/>
      <c r="M287" s="198"/>
      <c r="N287" s="198"/>
      <c r="O287" s="198"/>
      <c r="P287" s="198"/>
      <c r="Q287" s="198"/>
      <c r="R287" s="198"/>
      <c r="S287" s="197"/>
      <c r="T287" s="194"/>
      <c r="U287" s="197"/>
      <c r="V287" s="194"/>
      <c r="W287" s="195"/>
      <c r="X287" s="195"/>
      <c r="Y287" s="194"/>
      <c r="Z287" s="195"/>
      <c r="AA287" s="195"/>
      <c r="AB287" s="194"/>
      <c r="AC287" s="195"/>
      <c r="AD287" s="195"/>
      <c r="AE287" s="194"/>
      <c r="AF287" s="195"/>
      <c r="AG287" s="195"/>
      <c r="AH287" s="196"/>
      <c r="AI287" s="195"/>
      <c r="AJ287" s="195"/>
      <c r="AK287" s="194"/>
      <c r="AL287" s="195"/>
      <c r="AM287" s="195"/>
      <c r="AN287" s="194"/>
      <c r="AO287" s="195"/>
      <c r="AP287" s="195"/>
      <c r="AQ287" s="194"/>
      <c r="AR287" s="195"/>
      <c r="AS287" s="195"/>
      <c r="AT287" s="194"/>
      <c r="AU287" s="195"/>
      <c r="AV287" s="195"/>
      <c r="AW287" s="194"/>
      <c r="AX287" s="195"/>
      <c r="AY287" s="195"/>
      <c r="AZ287" s="194"/>
      <c r="BA287" s="195"/>
      <c r="BB287" s="194"/>
      <c r="BC287" s="195"/>
      <c r="BD287" s="195"/>
      <c r="BE287" s="194"/>
      <c r="BF287" s="195"/>
      <c r="BG287" s="195"/>
      <c r="BH287" s="194"/>
      <c r="BI287" s="195"/>
      <c r="BJ287" s="195"/>
      <c r="BK287" s="194"/>
      <c r="BL287" s="195"/>
      <c r="BM287" s="195"/>
      <c r="BN287" s="194"/>
      <c r="BO287" s="195"/>
      <c r="BP287" s="194"/>
      <c r="BQ287" s="195"/>
      <c r="BR287" s="195"/>
      <c r="BS287" s="194"/>
      <c r="BT287" s="195"/>
      <c r="BU287" s="194"/>
      <c r="BV287" s="195"/>
      <c r="BW287" s="194"/>
      <c r="BX287" s="195"/>
      <c r="BY287" s="194"/>
      <c r="BZ287" s="195"/>
      <c r="CA287" s="194"/>
      <c r="CB287" s="195"/>
      <c r="CC287" s="194"/>
      <c r="CD287" s="195"/>
      <c r="CE287" s="194"/>
      <c r="CF287" s="195"/>
      <c r="CG287" s="218"/>
      <c r="CH287" s="217">
        <f t="shared" si="157"/>
        <v>61.802076124567478</v>
      </c>
      <c r="CI287" s="223">
        <f t="shared" si="160"/>
        <v>52.755198487712676</v>
      </c>
      <c r="CJ287" s="217">
        <f t="shared" si="161"/>
        <v>45.558616467707374</v>
      </c>
      <c r="CK287" s="191">
        <f t="shared" si="162"/>
        <v>41.283284023668628</v>
      </c>
      <c r="CL287" s="192">
        <f t="shared" ref="CL287:CL306" si="163" xml:space="preserve"> 30*(B287/B$286)^2</f>
        <v>31.008333333333333</v>
      </c>
      <c r="CM287" s="191">
        <f t="shared" si="158"/>
        <v>23.446754883427918</v>
      </c>
    </row>
    <row r="288" spans="1:91" ht="10.5" customHeight="1">
      <c r="A288" s="179" t="str">
        <f t="shared" si="159"/>
        <v/>
      </c>
      <c r="B288" s="190">
        <v>6.2</v>
      </c>
      <c r="C288" s="189"/>
      <c r="D288" s="189"/>
      <c r="E288" s="189"/>
      <c r="F288" s="189"/>
      <c r="G288" s="189"/>
      <c r="H288" s="188"/>
      <c r="I288" s="187"/>
      <c r="J288" s="187"/>
      <c r="K288" s="187"/>
      <c r="L288" s="187"/>
      <c r="M288" s="187"/>
      <c r="N288" s="187"/>
      <c r="O288" s="187"/>
      <c r="P288" s="187"/>
      <c r="Q288" s="187"/>
      <c r="R288" s="187"/>
      <c r="S288" s="186"/>
      <c r="T288" s="183"/>
      <c r="U288" s="186"/>
      <c r="V288" s="183"/>
      <c r="W288" s="184"/>
      <c r="X288" s="184"/>
      <c r="Y288" s="183"/>
      <c r="Z288" s="184"/>
      <c r="AA288" s="184"/>
      <c r="AB288" s="183"/>
      <c r="AC288" s="184"/>
      <c r="AD288" s="184"/>
      <c r="AE288" s="183"/>
      <c r="AF288" s="184"/>
      <c r="AG288" s="184"/>
      <c r="AH288" s="185"/>
      <c r="AI288" s="184"/>
      <c r="AJ288" s="184"/>
      <c r="AK288" s="183"/>
      <c r="AL288" s="184"/>
      <c r="AM288" s="184"/>
      <c r="AN288" s="183"/>
      <c r="AO288" s="184"/>
      <c r="AP288" s="184"/>
      <c r="AQ288" s="183"/>
      <c r="AR288" s="184"/>
      <c r="AS288" s="184"/>
      <c r="AT288" s="183"/>
      <c r="AU288" s="184"/>
      <c r="AV288" s="184"/>
      <c r="AW288" s="183"/>
      <c r="AX288" s="184"/>
      <c r="AY288" s="184"/>
      <c r="AZ288" s="183"/>
      <c r="BA288" s="184"/>
      <c r="BB288" s="183"/>
      <c r="BC288" s="184"/>
      <c r="BD288" s="184"/>
      <c r="BE288" s="183"/>
      <c r="BF288" s="184"/>
      <c r="BG288" s="184"/>
      <c r="BH288" s="183"/>
      <c r="BI288" s="184"/>
      <c r="BJ288" s="184"/>
      <c r="BK288" s="183"/>
      <c r="BL288" s="184"/>
      <c r="BM288" s="184"/>
      <c r="BN288" s="183"/>
      <c r="BO288" s="184"/>
      <c r="BP288" s="183"/>
      <c r="BQ288" s="184"/>
      <c r="BR288" s="184"/>
      <c r="BS288" s="183"/>
      <c r="BT288" s="184"/>
      <c r="BU288" s="183"/>
      <c r="BV288" s="184"/>
      <c r="BW288" s="183"/>
      <c r="BX288" s="184"/>
      <c r="BY288" s="183"/>
      <c r="BZ288" s="184"/>
      <c r="CA288" s="183"/>
      <c r="CB288" s="184"/>
      <c r="CC288" s="183"/>
      <c r="CD288" s="184"/>
      <c r="CE288" s="183"/>
      <c r="CF288" s="184"/>
      <c r="CG288" s="216"/>
      <c r="CH288" s="214">
        <f t="shared" si="157"/>
        <v>63.844982698961957</v>
      </c>
      <c r="CI288" s="221">
        <f t="shared" si="160"/>
        <v>54.499054820415893</v>
      </c>
      <c r="CJ288" s="214">
        <f t="shared" si="161"/>
        <v>47.064585246403432</v>
      </c>
      <c r="CK288" s="180">
        <f t="shared" si="162"/>
        <v>42.647928994082839</v>
      </c>
      <c r="CL288" s="181">
        <f t="shared" si="163"/>
        <v>32.033333333333339</v>
      </c>
      <c r="CM288" s="180">
        <f t="shared" si="158"/>
        <v>24.221802142407128</v>
      </c>
    </row>
    <row r="289" spans="1:91" ht="10.5" customHeight="1">
      <c r="A289" s="179" t="str">
        <f t="shared" si="159"/>
        <v/>
      </c>
      <c r="B289" s="190">
        <v>6.3</v>
      </c>
      <c r="C289" s="189"/>
      <c r="D289" s="189"/>
      <c r="E289" s="189"/>
      <c r="F289" s="189"/>
      <c r="G289" s="189"/>
      <c r="H289" s="188"/>
      <c r="I289" s="187"/>
      <c r="J289" s="187"/>
      <c r="K289" s="187"/>
      <c r="L289" s="187"/>
      <c r="M289" s="187"/>
      <c r="N289" s="187"/>
      <c r="O289" s="187"/>
      <c r="P289" s="187"/>
      <c r="Q289" s="187"/>
      <c r="R289" s="187"/>
      <c r="S289" s="186"/>
      <c r="T289" s="183"/>
      <c r="U289" s="186"/>
      <c r="V289" s="183"/>
      <c r="W289" s="184"/>
      <c r="X289" s="184"/>
      <c r="Y289" s="183"/>
      <c r="Z289" s="184"/>
      <c r="AA289" s="184"/>
      <c r="AB289" s="183"/>
      <c r="AC289" s="184"/>
      <c r="AD289" s="184"/>
      <c r="AE289" s="183"/>
      <c r="AF289" s="184"/>
      <c r="AG289" s="184"/>
      <c r="AH289" s="185"/>
      <c r="AI289" s="184"/>
      <c r="AJ289" s="184"/>
      <c r="AK289" s="183"/>
      <c r="AL289" s="184"/>
      <c r="AM289" s="184"/>
      <c r="AN289" s="183"/>
      <c r="AO289" s="184"/>
      <c r="AP289" s="184"/>
      <c r="AQ289" s="183"/>
      <c r="AR289" s="184"/>
      <c r="AS289" s="184"/>
      <c r="AT289" s="183"/>
      <c r="AU289" s="184"/>
      <c r="AV289" s="184"/>
      <c r="AW289" s="183"/>
      <c r="AX289" s="184"/>
      <c r="AY289" s="184"/>
      <c r="AZ289" s="183"/>
      <c r="BA289" s="184"/>
      <c r="BB289" s="183"/>
      <c r="BC289" s="184"/>
      <c r="BD289" s="184"/>
      <c r="BE289" s="183"/>
      <c r="BF289" s="184"/>
      <c r="BG289" s="184"/>
      <c r="BH289" s="183"/>
      <c r="BI289" s="184"/>
      <c r="BJ289" s="184"/>
      <c r="BK289" s="183"/>
      <c r="BL289" s="184"/>
      <c r="BM289" s="184"/>
      <c r="BN289" s="183"/>
      <c r="BO289" s="184"/>
      <c r="BP289" s="183"/>
      <c r="BQ289" s="184"/>
      <c r="BR289" s="184"/>
      <c r="BS289" s="183"/>
      <c r="BT289" s="184"/>
      <c r="BU289" s="183"/>
      <c r="BV289" s="184"/>
      <c r="BW289" s="183"/>
      <c r="BX289" s="184"/>
      <c r="BY289" s="183"/>
      <c r="BZ289" s="184"/>
      <c r="CA289" s="183"/>
      <c r="CB289" s="184"/>
      <c r="CC289" s="183"/>
      <c r="CD289" s="184"/>
      <c r="CE289" s="183"/>
      <c r="CF289" s="184"/>
      <c r="CG289" s="215"/>
      <c r="CH289" s="214">
        <f t="shared" si="157"/>
        <v>65.921107266435996</v>
      </c>
      <c r="CI289" s="221">
        <f t="shared" si="160"/>
        <v>56.271266540642728</v>
      </c>
      <c r="CJ289" s="214">
        <f t="shared" si="161"/>
        <v>48.595041322314046</v>
      </c>
      <c r="CK289" s="180">
        <f t="shared" si="162"/>
        <v>44.03476331360946</v>
      </c>
      <c r="CL289" s="181">
        <f t="shared" si="163"/>
        <v>33.075000000000003</v>
      </c>
      <c r="CM289" s="180">
        <f t="shared" si="158"/>
        <v>25.009451795841287</v>
      </c>
    </row>
    <row r="290" spans="1:91" ht="10.5" customHeight="1">
      <c r="A290" s="179" t="str">
        <f t="shared" si="159"/>
        <v/>
      </c>
      <c r="B290" s="213">
        <v>6.4</v>
      </c>
      <c r="C290" s="212"/>
      <c r="D290" s="212"/>
      <c r="E290" s="212"/>
      <c r="F290" s="212"/>
      <c r="G290" s="212"/>
      <c r="H290" s="211"/>
      <c r="I290" s="210"/>
      <c r="J290" s="210"/>
      <c r="K290" s="210"/>
      <c r="L290" s="210"/>
      <c r="M290" s="210"/>
      <c r="N290" s="210"/>
      <c r="O290" s="210"/>
      <c r="P290" s="210"/>
      <c r="Q290" s="210"/>
      <c r="R290" s="210"/>
      <c r="S290" s="209"/>
      <c r="T290" s="207"/>
      <c r="U290" s="209"/>
      <c r="V290" s="207"/>
      <c r="W290" s="206"/>
      <c r="X290" s="206"/>
      <c r="Y290" s="207"/>
      <c r="Z290" s="206"/>
      <c r="AA290" s="206"/>
      <c r="AB290" s="207"/>
      <c r="AC290" s="206"/>
      <c r="AD290" s="206"/>
      <c r="AE290" s="207"/>
      <c r="AF290" s="206"/>
      <c r="AG290" s="206"/>
      <c r="AH290" s="208"/>
      <c r="AI290" s="206"/>
      <c r="AJ290" s="206"/>
      <c r="AK290" s="207"/>
      <c r="AL290" s="206"/>
      <c r="AM290" s="206"/>
      <c r="AN290" s="207"/>
      <c r="AO290" s="206"/>
      <c r="AP290" s="206"/>
      <c r="AQ290" s="207"/>
      <c r="AR290" s="206"/>
      <c r="AS290" s="206"/>
      <c r="AT290" s="207"/>
      <c r="AU290" s="206"/>
      <c r="AV290" s="206"/>
      <c r="AW290" s="207"/>
      <c r="AX290" s="206"/>
      <c r="AY290" s="206"/>
      <c r="AZ290" s="207"/>
      <c r="BA290" s="206"/>
      <c r="BB290" s="207"/>
      <c r="BC290" s="206"/>
      <c r="BD290" s="206"/>
      <c r="BE290" s="207"/>
      <c r="BF290" s="206"/>
      <c r="BG290" s="206"/>
      <c r="BH290" s="207"/>
      <c r="BI290" s="206"/>
      <c r="BJ290" s="206"/>
      <c r="BK290" s="207"/>
      <c r="BL290" s="206"/>
      <c r="BM290" s="206"/>
      <c r="BN290" s="207"/>
      <c r="BO290" s="206"/>
      <c r="BP290" s="207"/>
      <c r="BQ290" s="206"/>
      <c r="BR290" s="206"/>
      <c r="BS290" s="207"/>
      <c r="BT290" s="206"/>
      <c r="BU290" s="207"/>
      <c r="BV290" s="206"/>
      <c r="BW290" s="207"/>
      <c r="BX290" s="206"/>
      <c r="BY290" s="207"/>
      <c r="BZ290" s="206"/>
      <c r="CA290" s="207"/>
      <c r="CB290" s="206"/>
      <c r="CC290" s="207"/>
      <c r="CD290" s="206"/>
      <c r="CE290" s="207"/>
      <c r="CF290" s="206"/>
      <c r="CG290" s="205"/>
      <c r="CH290" s="219">
        <f t="shared" si="157"/>
        <v>68.03044982698961</v>
      </c>
      <c r="CI290" s="225">
        <f t="shared" si="160"/>
        <v>58.071833648393209</v>
      </c>
      <c r="CJ290" s="219">
        <f t="shared" si="161"/>
        <v>50.149984695439244</v>
      </c>
      <c r="CK290" s="202">
        <f t="shared" si="162"/>
        <v>45.443786982248525</v>
      </c>
      <c r="CL290" s="203">
        <f t="shared" si="163"/>
        <v>34.133333333333333</v>
      </c>
      <c r="CM290" s="202">
        <f t="shared" si="158"/>
        <v>25.809703843730389</v>
      </c>
    </row>
    <row r="291" spans="1:91" ht="10.5" customHeight="1" thickBot="1">
      <c r="A291" s="179" t="str">
        <f t="shared" si="159"/>
        <v/>
      </c>
      <c r="B291" s="201">
        <v>6.4999999999999902</v>
      </c>
      <c r="C291" s="200"/>
      <c r="D291" s="200"/>
      <c r="E291" s="200"/>
      <c r="F291" s="200"/>
      <c r="G291" s="200"/>
      <c r="H291" s="199"/>
      <c r="I291" s="198"/>
      <c r="J291" s="198"/>
      <c r="K291" s="198"/>
      <c r="L291" s="198"/>
      <c r="M291" s="198"/>
      <c r="N291" s="198"/>
      <c r="O291" s="198"/>
      <c r="P291" s="198"/>
      <c r="Q291" s="198"/>
      <c r="R291" s="198"/>
      <c r="S291" s="197"/>
      <c r="T291" s="194"/>
      <c r="U291" s="197"/>
      <c r="V291" s="194"/>
      <c r="W291" s="195"/>
      <c r="X291" s="195"/>
      <c r="Y291" s="194"/>
      <c r="Z291" s="195"/>
      <c r="AA291" s="195"/>
      <c r="AB291" s="194"/>
      <c r="AC291" s="195"/>
      <c r="AD291" s="195"/>
      <c r="AE291" s="194"/>
      <c r="AF291" s="195"/>
      <c r="AG291" s="195"/>
      <c r="AH291" s="196"/>
      <c r="AI291" s="195"/>
      <c r="AJ291" s="195"/>
      <c r="AK291" s="194"/>
      <c r="AL291" s="195"/>
      <c r="AM291" s="195"/>
      <c r="AN291" s="194"/>
      <c r="AO291" s="195"/>
      <c r="AP291" s="195"/>
      <c r="AQ291" s="194"/>
      <c r="AR291" s="195"/>
      <c r="AS291" s="195"/>
      <c r="AT291" s="194"/>
      <c r="AU291" s="195"/>
      <c r="AV291" s="195"/>
      <c r="AW291" s="194"/>
      <c r="AX291" s="195"/>
      <c r="AY291" s="195"/>
      <c r="AZ291" s="194"/>
      <c r="BA291" s="195"/>
      <c r="BB291" s="194"/>
      <c r="BC291" s="195"/>
      <c r="BD291" s="195"/>
      <c r="BE291" s="194"/>
      <c r="BF291" s="195"/>
      <c r="BG291" s="195"/>
      <c r="BH291" s="194"/>
      <c r="BI291" s="195"/>
      <c r="BJ291" s="195"/>
      <c r="BK291" s="194"/>
      <c r="BL291" s="195"/>
      <c r="BM291" s="195"/>
      <c r="BN291" s="194"/>
      <c r="BO291" s="195"/>
      <c r="BP291" s="194"/>
      <c r="BQ291" s="195"/>
      <c r="BR291" s="195"/>
      <c r="BS291" s="194"/>
      <c r="BT291" s="195"/>
      <c r="BU291" s="194"/>
      <c r="BV291" s="195"/>
      <c r="BW291" s="194"/>
      <c r="BX291" s="195"/>
      <c r="BY291" s="194"/>
      <c r="BZ291" s="195"/>
      <c r="CA291" s="194"/>
      <c r="CB291" s="195"/>
      <c r="CC291" s="194"/>
      <c r="CD291" s="195"/>
      <c r="CE291" s="194"/>
      <c r="CF291" s="195"/>
      <c r="CG291" s="228"/>
      <c r="CH291" s="227">
        <f t="shared" si="157"/>
        <v>70.173010380622614</v>
      </c>
      <c r="CI291" s="223">
        <f t="shared" si="160"/>
        <v>59.900756143667131</v>
      </c>
      <c r="CJ291" s="217">
        <f t="shared" si="161"/>
        <v>51.729415365778841</v>
      </c>
      <c r="CK291" s="191">
        <f t="shared" si="162"/>
        <v>46.874999999999851</v>
      </c>
      <c r="CL291" s="192">
        <f t="shared" si="163"/>
        <v>35.208333333333229</v>
      </c>
      <c r="CM291" s="191">
        <f t="shared" si="158"/>
        <v>26.622558286074351</v>
      </c>
    </row>
    <row r="292" spans="1:91" ht="10.5" customHeight="1">
      <c r="A292" s="179" t="str">
        <f t="shared" si="159"/>
        <v/>
      </c>
      <c r="B292" s="190">
        <v>6.5999999999999899</v>
      </c>
      <c r="C292" s="189"/>
      <c r="D292" s="189"/>
      <c r="E292" s="189"/>
      <c r="F292" s="189"/>
      <c r="G292" s="189"/>
      <c r="H292" s="188"/>
      <c r="I292" s="187"/>
      <c r="J292" s="187"/>
      <c r="K292" s="187"/>
      <c r="L292" s="187"/>
      <c r="M292" s="187"/>
      <c r="N292" s="187"/>
      <c r="O292" s="187"/>
      <c r="P292" s="187"/>
      <c r="Q292" s="187"/>
      <c r="R292" s="187"/>
      <c r="S292" s="186"/>
      <c r="T292" s="183"/>
      <c r="U292" s="186"/>
      <c r="V292" s="183"/>
      <c r="W292" s="184"/>
      <c r="X292" s="184"/>
      <c r="Y292" s="183"/>
      <c r="Z292" s="184"/>
      <c r="AA292" s="184"/>
      <c r="AB292" s="183"/>
      <c r="AC292" s="184"/>
      <c r="AD292" s="184"/>
      <c r="AE292" s="183"/>
      <c r="AF292" s="184"/>
      <c r="AG292" s="184"/>
      <c r="AH292" s="185"/>
      <c r="AI292" s="184"/>
      <c r="AJ292" s="184"/>
      <c r="AK292" s="183"/>
      <c r="AL292" s="184"/>
      <c r="AM292" s="184"/>
      <c r="AN292" s="183"/>
      <c r="AO292" s="184"/>
      <c r="AP292" s="184"/>
      <c r="AQ292" s="183"/>
      <c r="AR292" s="184"/>
      <c r="AS292" s="184"/>
      <c r="AT292" s="183"/>
      <c r="AU292" s="184"/>
      <c r="AV292" s="184"/>
      <c r="AW292" s="183"/>
      <c r="AX292" s="184"/>
      <c r="AY292" s="184"/>
      <c r="AZ292" s="183"/>
      <c r="BA292" s="184"/>
      <c r="BB292" s="183"/>
      <c r="BC292" s="184"/>
      <c r="BD292" s="184"/>
      <c r="BE292" s="183"/>
      <c r="BF292" s="184"/>
      <c r="BG292" s="184"/>
      <c r="BH292" s="183"/>
      <c r="BI292" s="184"/>
      <c r="BJ292" s="184"/>
      <c r="BK292" s="183"/>
      <c r="BL292" s="184"/>
      <c r="BM292" s="184"/>
      <c r="BN292" s="183"/>
      <c r="BO292" s="184"/>
      <c r="BP292" s="183"/>
      <c r="BQ292" s="184"/>
      <c r="BR292" s="184"/>
      <c r="BS292" s="183"/>
      <c r="BT292" s="184"/>
      <c r="BU292" s="183"/>
      <c r="BV292" s="184"/>
      <c r="BW292" s="183"/>
      <c r="BX292" s="184"/>
      <c r="BY292" s="183"/>
      <c r="BZ292" s="184"/>
      <c r="CA292" s="183"/>
      <c r="CB292" s="184"/>
      <c r="CC292" s="183"/>
      <c r="CD292" s="184"/>
      <c r="CE292" s="183"/>
      <c r="CF292" s="184"/>
      <c r="CG292" s="183"/>
      <c r="CH292" s="182"/>
      <c r="CI292" s="221">
        <f t="shared" si="160"/>
        <v>61.758034026464856</v>
      </c>
      <c r="CJ292" s="214">
        <f t="shared" si="161"/>
        <v>53.333333333333172</v>
      </c>
      <c r="CK292" s="180">
        <f t="shared" si="162"/>
        <v>48.328402366863749</v>
      </c>
      <c r="CL292" s="181">
        <f t="shared" si="163"/>
        <v>36.299999999999883</v>
      </c>
      <c r="CM292" s="180">
        <f t="shared" si="158"/>
        <v>27.448015122873343</v>
      </c>
    </row>
    <row r="293" spans="1:91" ht="10.5" customHeight="1">
      <c r="A293" s="179" t="str">
        <f t="shared" si="159"/>
        <v/>
      </c>
      <c r="B293" s="190">
        <v>6.6999999999999904</v>
      </c>
      <c r="C293" s="189"/>
      <c r="D293" s="189"/>
      <c r="E293" s="189"/>
      <c r="F293" s="189"/>
      <c r="G293" s="189"/>
      <c r="H293" s="188"/>
      <c r="I293" s="187"/>
      <c r="J293" s="187"/>
      <c r="K293" s="187"/>
      <c r="L293" s="187"/>
      <c r="M293" s="187"/>
      <c r="N293" s="187"/>
      <c r="O293" s="187"/>
      <c r="P293" s="187"/>
      <c r="Q293" s="187"/>
      <c r="R293" s="187"/>
      <c r="S293" s="186"/>
      <c r="T293" s="183"/>
      <c r="U293" s="186"/>
      <c r="V293" s="183"/>
      <c r="W293" s="184"/>
      <c r="X293" s="184"/>
      <c r="Y293" s="183"/>
      <c r="Z293" s="184"/>
      <c r="AA293" s="184"/>
      <c r="AB293" s="183"/>
      <c r="AC293" s="184"/>
      <c r="AD293" s="184"/>
      <c r="AE293" s="183"/>
      <c r="AF293" s="184"/>
      <c r="AG293" s="184"/>
      <c r="AH293" s="185"/>
      <c r="AI293" s="184"/>
      <c r="AJ293" s="184"/>
      <c r="AK293" s="183"/>
      <c r="AL293" s="184"/>
      <c r="AM293" s="184"/>
      <c r="AN293" s="183"/>
      <c r="AO293" s="184"/>
      <c r="AP293" s="184"/>
      <c r="AQ293" s="183"/>
      <c r="AR293" s="184"/>
      <c r="AS293" s="184"/>
      <c r="AT293" s="183"/>
      <c r="AU293" s="184"/>
      <c r="AV293" s="184"/>
      <c r="AW293" s="183"/>
      <c r="AX293" s="184"/>
      <c r="AY293" s="184"/>
      <c r="AZ293" s="183"/>
      <c r="BA293" s="184"/>
      <c r="BB293" s="183"/>
      <c r="BC293" s="184"/>
      <c r="BD293" s="184"/>
      <c r="BE293" s="183"/>
      <c r="BF293" s="184"/>
      <c r="BG293" s="184"/>
      <c r="BH293" s="183"/>
      <c r="BI293" s="184"/>
      <c r="BJ293" s="184"/>
      <c r="BK293" s="183"/>
      <c r="BL293" s="184"/>
      <c r="BM293" s="184"/>
      <c r="BN293" s="183"/>
      <c r="BO293" s="184"/>
      <c r="BP293" s="183"/>
      <c r="BQ293" s="184"/>
      <c r="BR293" s="184"/>
      <c r="BS293" s="183"/>
      <c r="BT293" s="184"/>
      <c r="BU293" s="183"/>
      <c r="BV293" s="184"/>
      <c r="BW293" s="183"/>
      <c r="BX293" s="184"/>
      <c r="BY293" s="183"/>
      <c r="BZ293" s="184"/>
      <c r="CA293" s="183"/>
      <c r="CB293" s="184"/>
      <c r="CC293" s="183"/>
      <c r="CD293" s="184"/>
      <c r="CE293" s="183"/>
      <c r="CF293" s="184"/>
      <c r="CG293" s="183"/>
      <c r="CH293" s="182"/>
      <c r="CI293" s="221">
        <f t="shared" si="160"/>
        <v>63.643667296786219</v>
      </c>
      <c r="CJ293" s="214">
        <f t="shared" si="161"/>
        <v>54.961738598102073</v>
      </c>
      <c r="CK293" s="180">
        <f t="shared" si="162"/>
        <v>49.803994082840092</v>
      </c>
      <c r="CL293" s="181">
        <f t="shared" si="163"/>
        <v>37.408333333333232</v>
      </c>
      <c r="CM293" s="180">
        <f t="shared" si="158"/>
        <v>28.28607435412729</v>
      </c>
    </row>
    <row r="294" spans="1:91" ht="10.5" customHeight="1">
      <c r="A294" s="179" t="str">
        <f t="shared" si="159"/>
        <v/>
      </c>
      <c r="B294" s="213">
        <v>6.7999999999999901</v>
      </c>
      <c r="C294" s="212"/>
      <c r="D294" s="212"/>
      <c r="E294" s="212"/>
      <c r="F294" s="212"/>
      <c r="G294" s="212"/>
      <c r="H294" s="211"/>
      <c r="I294" s="210"/>
      <c r="J294" s="210"/>
      <c r="K294" s="210"/>
      <c r="L294" s="210"/>
      <c r="M294" s="210"/>
      <c r="N294" s="210"/>
      <c r="O294" s="210"/>
      <c r="P294" s="210"/>
      <c r="Q294" s="210"/>
      <c r="R294" s="210"/>
      <c r="S294" s="209"/>
      <c r="T294" s="207"/>
      <c r="U294" s="209"/>
      <c r="V294" s="207"/>
      <c r="W294" s="206"/>
      <c r="X294" s="206"/>
      <c r="Y294" s="207"/>
      <c r="Z294" s="206"/>
      <c r="AA294" s="206"/>
      <c r="AB294" s="207"/>
      <c r="AC294" s="206"/>
      <c r="AD294" s="206"/>
      <c r="AE294" s="207"/>
      <c r="AF294" s="206"/>
      <c r="AG294" s="206"/>
      <c r="AH294" s="208"/>
      <c r="AI294" s="206"/>
      <c r="AJ294" s="206"/>
      <c r="AK294" s="207"/>
      <c r="AL294" s="206"/>
      <c r="AM294" s="206"/>
      <c r="AN294" s="207"/>
      <c r="AO294" s="206"/>
      <c r="AP294" s="206"/>
      <c r="AQ294" s="207"/>
      <c r="AR294" s="206"/>
      <c r="AS294" s="206"/>
      <c r="AT294" s="207"/>
      <c r="AU294" s="206"/>
      <c r="AV294" s="206"/>
      <c r="AW294" s="207"/>
      <c r="AX294" s="206"/>
      <c r="AY294" s="206"/>
      <c r="AZ294" s="207"/>
      <c r="BA294" s="206"/>
      <c r="BB294" s="207"/>
      <c r="BC294" s="206"/>
      <c r="BD294" s="206"/>
      <c r="BE294" s="207"/>
      <c r="BF294" s="206"/>
      <c r="BG294" s="206"/>
      <c r="BH294" s="207"/>
      <c r="BI294" s="206"/>
      <c r="BJ294" s="206"/>
      <c r="BK294" s="207"/>
      <c r="BL294" s="206"/>
      <c r="BM294" s="206"/>
      <c r="BN294" s="207"/>
      <c r="BO294" s="206"/>
      <c r="BP294" s="207"/>
      <c r="BQ294" s="206"/>
      <c r="BR294" s="206"/>
      <c r="BS294" s="207"/>
      <c r="BT294" s="206"/>
      <c r="BU294" s="207"/>
      <c r="BV294" s="206"/>
      <c r="BW294" s="207"/>
      <c r="BX294" s="206"/>
      <c r="BY294" s="207"/>
      <c r="BZ294" s="206"/>
      <c r="CA294" s="207"/>
      <c r="CB294" s="206"/>
      <c r="CC294" s="207"/>
      <c r="CD294" s="206"/>
      <c r="CE294" s="207"/>
      <c r="CF294" s="206"/>
      <c r="CG294" s="207"/>
      <c r="CH294" s="226"/>
      <c r="CI294" s="225">
        <f t="shared" si="160"/>
        <v>65.557655954631187</v>
      </c>
      <c r="CJ294" s="219">
        <f t="shared" si="161"/>
        <v>56.614631160085537</v>
      </c>
      <c r="CK294" s="202">
        <f t="shared" si="162"/>
        <v>51.301775147928836</v>
      </c>
      <c r="CL294" s="203">
        <f t="shared" si="163"/>
        <v>38.533333333333232</v>
      </c>
      <c r="CM294" s="202">
        <f t="shared" si="158"/>
        <v>29.136735979836171</v>
      </c>
    </row>
    <row r="295" spans="1:91" ht="10.5" customHeight="1">
      <c r="A295" s="179" t="str">
        <f t="shared" si="159"/>
        <v/>
      </c>
      <c r="B295" s="201">
        <v>6.8999999999999897</v>
      </c>
      <c r="C295" s="200"/>
      <c r="D295" s="200"/>
      <c r="E295" s="200"/>
      <c r="F295" s="200"/>
      <c r="G295" s="200"/>
      <c r="H295" s="199"/>
      <c r="I295" s="198"/>
      <c r="J295" s="198"/>
      <c r="K295" s="198"/>
      <c r="L295" s="198"/>
      <c r="M295" s="198"/>
      <c r="N295" s="198"/>
      <c r="O295" s="198"/>
      <c r="P295" s="198"/>
      <c r="Q295" s="198"/>
      <c r="R295" s="198"/>
      <c r="S295" s="197"/>
      <c r="T295" s="194"/>
      <c r="U295" s="197"/>
      <c r="V295" s="194"/>
      <c r="W295" s="195"/>
      <c r="X295" s="195"/>
      <c r="Y295" s="194"/>
      <c r="Z295" s="195"/>
      <c r="AA295" s="195"/>
      <c r="AB295" s="194"/>
      <c r="AC295" s="195"/>
      <c r="AD295" s="195"/>
      <c r="AE295" s="194"/>
      <c r="AF295" s="195"/>
      <c r="AG295" s="195"/>
      <c r="AH295" s="196"/>
      <c r="AI295" s="195"/>
      <c r="AJ295" s="195"/>
      <c r="AK295" s="194"/>
      <c r="AL295" s="195"/>
      <c r="AM295" s="195"/>
      <c r="AN295" s="194"/>
      <c r="AO295" s="195"/>
      <c r="AP295" s="195"/>
      <c r="AQ295" s="194"/>
      <c r="AR295" s="195"/>
      <c r="AS295" s="195"/>
      <c r="AT295" s="194"/>
      <c r="AU295" s="195"/>
      <c r="AV295" s="195"/>
      <c r="AW295" s="194"/>
      <c r="AX295" s="195"/>
      <c r="AY295" s="195"/>
      <c r="AZ295" s="194"/>
      <c r="BA295" s="195"/>
      <c r="BB295" s="194"/>
      <c r="BC295" s="195"/>
      <c r="BD295" s="195"/>
      <c r="BE295" s="194"/>
      <c r="BF295" s="195"/>
      <c r="BG295" s="195"/>
      <c r="BH295" s="194"/>
      <c r="BI295" s="195"/>
      <c r="BJ295" s="195"/>
      <c r="BK295" s="194"/>
      <c r="BL295" s="195"/>
      <c r="BM295" s="195"/>
      <c r="BN295" s="194"/>
      <c r="BO295" s="195"/>
      <c r="BP295" s="194"/>
      <c r="BQ295" s="195"/>
      <c r="BR295" s="195"/>
      <c r="BS295" s="194"/>
      <c r="BT295" s="195"/>
      <c r="BU295" s="194"/>
      <c r="BV295" s="195"/>
      <c r="BW295" s="194"/>
      <c r="BX295" s="195"/>
      <c r="BY295" s="194"/>
      <c r="BZ295" s="195"/>
      <c r="CA295" s="194"/>
      <c r="CB295" s="195"/>
      <c r="CC295" s="194"/>
      <c r="CD295" s="195"/>
      <c r="CE295" s="194"/>
      <c r="CF295" s="195"/>
      <c r="CG295" s="194"/>
      <c r="CH295" s="224"/>
      <c r="CI295" s="223">
        <f t="shared" si="160"/>
        <v>67.499999999999801</v>
      </c>
      <c r="CJ295" s="217">
        <f t="shared" si="161"/>
        <v>58.292011019283564</v>
      </c>
      <c r="CK295" s="191">
        <f t="shared" si="162"/>
        <v>52.821745562130012</v>
      </c>
      <c r="CL295" s="192">
        <f t="shared" si="163"/>
        <v>39.674999999999883</v>
      </c>
      <c r="CM295" s="222">
        <v>30</v>
      </c>
    </row>
    <row r="296" spans="1:91" ht="10.5" customHeight="1">
      <c r="A296" s="179" t="str">
        <f t="shared" si="159"/>
        <v/>
      </c>
      <c r="B296" s="190">
        <v>6.9999999999999902</v>
      </c>
      <c r="C296" s="189"/>
      <c r="D296" s="189"/>
      <c r="E296" s="189"/>
      <c r="F296" s="189"/>
      <c r="G296" s="189"/>
      <c r="H296" s="188"/>
      <c r="I296" s="187"/>
      <c r="J296" s="187"/>
      <c r="K296" s="187"/>
      <c r="L296" s="187"/>
      <c r="M296" s="187"/>
      <c r="N296" s="187"/>
      <c r="O296" s="187"/>
      <c r="P296" s="187"/>
      <c r="Q296" s="187"/>
      <c r="R296" s="187"/>
      <c r="S296" s="186"/>
      <c r="T296" s="183"/>
      <c r="U296" s="186"/>
      <c r="V296" s="183"/>
      <c r="W296" s="184"/>
      <c r="X296" s="184"/>
      <c r="Y296" s="183"/>
      <c r="Z296" s="184"/>
      <c r="AA296" s="184"/>
      <c r="AB296" s="183"/>
      <c r="AC296" s="184"/>
      <c r="AD296" s="184"/>
      <c r="AE296" s="183"/>
      <c r="AF296" s="184"/>
      <c r="AG296" s="184"/>
      <c r="AH296" s="185"/>
      <c r="AI296" s="184"/>
      <c r="AJ296" s="184"/>
      <c r="AK296" s="183"/>
      <c r="AL296" s="184"/>
      <c r="AM296" s="184"/>
      <c r="AN296" s="183"/>
      <c r="AO296" s="184"/>
      <c r="AP296" s="184"/>
      <c r="AQ296" s="183"/>
      <c r="AR296" s="184"/>
      <c r="AS296" s="184"/>
      <c r="AT296" s="183"/>
      <c r="AU296" s="184"/>
      <c r="AV296" s="184"/>
      <c r="AW296" s="183"/>
      <c r="AX296" s="184"/>
      <c r="AY296" s="184"/>
      <c r="AZ296" s="183"/>
      <c r="BA296" s="184"/>
      <c r="BB296" s="183"/>
      <c r="BC296" s="184"/>
      <c r="BD296" s="184"/>
      <c r="BE296" s="183"/>
      <c r="BF296" s="184"/>
      <c r="BG296" s="184"/>
      <c r="BH296" s="183"/>
      <c r="BI296" s="184"/>
      <c r="BJ296" s="184"/>
      <c r="BK296" s="183"/>
      <c r="BL296" s="184"/>
      <c r="BM296" s="184"/>
      <c r="BN296" s="183"/>
      <c r="BO296" s="184"/>
      <c r="BP296" s="183"/>
      <c r="BQ296" s="184"/>
      <c r="BR296" s="184"/>
      <c r="BS296" s="183"/>
      <c r="BT296" s="184"/>
      <c r="BU296" s="183"/>
      <c r="BV296" s="184"/>
      <c r="BW296" s="183"/>
      <c r="BX296" s="184"/>
      <c r="BY296" s="183"/>
      <c r="BZ296" s="184"/>
      <c r="CA296" s="183"/>
      <c r="CB296" s="184"/>
      <c r="CC296" s="183"/>
      <c r="CD296" s="184"/>
      <c r="CE296" s="183"/>
      <c r="CF296" s="184"/>
      <c r="CG296" s="183"/>
      <c r="CH296" s="182"/>
      <c r="CI296" s="221">
        <f t="shared" si="160"/>
        <v>69.470699432892076</v>
      </c>
      <c r="CJ296" s="214">
        <f t="shared" si="161"/>
        <v>59.993878175696189</v>
      </c>
      <c r="CK296" s="180">
        <f t="shared" si="162"/>
        <v>54.363905325443632</v>
      </c>
      <c r="CL296" s="181">
        <f t="shared" si="163"/>
        <v>40.833333333333215</v>
      </c>
      <c r="CM296" s="180">
        <f t="shared" ref="CM296:CM306" si="164" xml:space="preserve"> 30*(B296/B$295)^2</f>
        <v>30.87586641461878</v>
      </c>
    </row>
    <row r="297" spans="1:91" ht="10.5" customHeight="1" thickBot="1">
      <c r="A297" s="179" t="str">
        <f t="shared" si="159"/>
        <v/>
      </c>
      <c r="B297" s="190">
        <v>7.0999999999999899</v>
      </c>
      <c r="C297" s="189"/>
      <c r="D297" s="189"/>
      <c r="E297" s="189"/>
      <c r="F297" s="189"/>
      <c r="G297" s="189"/>
      <c r="H297" s="188"/>
      <c r="I297" s="187"/>
      <c r="J297" s="187"/>
      <c r="K297" s="187"/>
      <c r="L297" s="187"/>
      <c r="M297" s="187"/>
      <c r="N297" s="187"/>
      <c r="O297" s="187"/>
      <c r="P297" s="187"/>
      <c r="Q297" s="187"/>
      <c r="R297" s="187"/>
      <c r="S297" s="186"/>
      <c r="T297" s="183"/>
      <c r="U297" s="186"/>
      <c r="V297" s="183"/>
      <c r="W297" s="184"/>
      <c r="X297" s="184"/>
      <c r="Y297" s="183"/>
      <c r="Z297" s="184"/>
      <c r="AA297" s="184"/>
      <c r="AB297" s="183"/>
      <c r="AC297" s="184"/>
      <c r="AD297" s="184"/>
      <c r="AE297" s="183"/>
      <c r="AF297" s="184"/>
      <c r="AG297" s="184"/>
      <c r="AH297" s="185"/>
      <c r="AI297" s="184"/>
      <c r="AJ297" s="184"/>
      <c r="AK297" s="183"/>
      <c r="AL297" s="184"/>
      <c r="AM297" s="184"/>
      <c r="AN297" s="183"/>
      <c r="AO297" s="184"/>
      <c r="AP297" s="184"/>
      <c r="AQ297" s="183"/>
      <c r="AR297" s="184"/>
      <c r="AS297" s="184"/>
      <c r="AT297" s="183"/>
      <c r="AU297" s="184"/>
      <c r="AV297" s="184"/>
      <c r="AW297" s="183"/>
      <c r="AX297" s="184"/>
      <c r="AY297" s="184"/>
      <c r="AZ297" s="183"/>
      <c r="BA297" s="184"/>
      <c r="BB297" s="183"/>
      <c r="BC297" s="184"/>
      <c r="BD297" s="184"/>
      <c r="BE297" s="183"/>
      <c r="BF297" s="184"/>
      <c r="BG297" s="184"/>
      <c r="BH297" s="183"/>
      <c r="BI297" s="184"/>
      <c r="BJ297" s="184"/>
      <c r="BK297" s="183"/>
      <c r="BL297" s="184"/>
      <c r="BM297" s="184"/>
      <c r="BN297" s="183"/>
      <c r="BO297" s="184"/>
      <c r="BP297" s="183"/>
      <c r="BQ297" s="184"/>
      <c r="BR297" s="184"/>
      <c r="BS297" s="183"/>
      <c r="BT297" s="184"/>
      <c r="BU297" s="183"/>
      <c r="BV297" s="184"/>
      <c r="BW297" s="183"/>
      <c r="BX297" s="184"/>
      <c r="BY297" s="183"/>
      <c r="BZ297" s="184"/>
      <c r="CA297" s="183"/>
      <c r="CB297" s="184"/>
      <c r="CC297" s="183"/>
      <c r="CD297" s="184"/>
      <c r="CE297" s="183"/>
      <c r="CF297" s="184"/>
      <c r="CG297" s="183"/>
      <c r="CH297" s="182"/>
      <c r="CI297" s="220">
        <f t="shared" si="160"/>
        <v>71.46975425330794</v>
      </c>
      <c r="CJ297" s="214">
        <f t="shared" si="161"/>
        <v>61.720232629323363</v>
      </c>
      <c r="CK297" s="180">
        <f t="shared" si="162"/>
        <v>55.928254437869661</v>
      </c>
      <c r="CL297" s="181">
        <f t="shared" si="163"/>
        <v>42.008333333333205</v>
      </c>
      <c r="CM297" s="180">
        <f t="shared" si="164"/>
        <v>31.764335223692509</v>
      </c>
    </row>
    <row r="298" spans="1:91" ht="10.5" customHeight="1">
      <c r="A298" s="179" t="str">
        <f t="shared" si="159"/>
        <v/>
      </c>
      <c r="B298" s="213">
        <v>7.1999999999999904</v>
      </c>
      <c r="C298" s="212"/>
      <c r="D298" s="212"/>
      <c r="E298" s="212"/>
      <c r="F298" s="212"/>
      <c r="G298" s="212"/>
      <c r="H298" s="211"/>
      <c r="I298" s="210"/>
      <c r="J298" s="210"/>
      <c r="K298" s="210"/>
      <c r="L298" s="210"/>
      <c r="M298" s="210"/>
      <c r="N298" s="210"/>
      <c r="O298" s="210"/>
      <c r="P298" s="210"/>
      <c r="Q298" s="210"/>
      <c r="R298" s="210"/>
      <c r="S298" s="209"/>
      <c r="T298" s="207"/>
      <c r="U298" s="209"/>
      <c r="V298" s="207"/>
      <c r="W298" s="206"/>
      <c r="X298" s="206"/>
      <c r="Y298" s="207"/>
      <c r="Z298" s="206"/>
      <c r="AA298" s="206"/>
      <c r="AB298" s="207"/>
      <c r="AC298" s="206"/>
      <c r="AD298" s="206"/>
      <c r="AE298" s="207"/>
      <c r="AF298" s="206"/>
      <c r="AG298" s="206"/>
      <c r="AH298" s="208"/>
      <c r="AI298" s="206"/>
      <c r="AJ298" s="206"/>
      <c r="AK298" s="207"/>
      <c r="AL298" s="206"/>
      <c r="AM298" s="206"/>
      <c r="AN298" s="207"/>
      <c r="AO298" s="206"/>
      <c r="AP298" s="206"/>
      <c r="AQ298" s="207"/>
      <c r="AR298" s="206"/>
      <c r="AS298" s="206"/>
      <c r="AT298" s="207"/>
      <c r="AU298" s="206"/>
      <c r="AV298" s="206"/>
      <c r="AW298" s="207"/>
      <c r="AX298" s="206"/>
      <c r="AY298" s="206"/>
      <c r="AZ298" s="207"/>
      <c r="BA298" s="206"/>
      <c r="BB298" s="207"/>
      <c r="BC298" s="206"/>
      <c r="BD298" s="206"/>
      <c r="BE298" s="207"/>
      <c r="BF298" s="206"/>
      <c r="BG298" s="206"/>
      <c r="BH298" s="207"/>
      <c r="BI298" s="206"/>
      <c r="BJ298" s="206"/>
      <c r="BK298" s="207"/>
      <c r="BL298" s="206"/>
      <c r="BM298" s="206"/>
      <c r="BN298" s="207"/>
      <c r="BO298" s="206"/>
      <c r="BP298" s="207"/>
      <c r="BQ298" s="206"/>
      <c r="BR298" s="206"/>
      <c r="BS298" s="207"/>
      <c r="BT298" s="206"/>
      <c r="BU298" s="207"/>
      <c r="BV298" s="206"/>
      <c r="BW298" s="207"/>
      <c r="BX298" s="206"/>
      <c r="BY298" s="207"/>
      <c r="BZ298" s="206"/>
      <c r="CA298" s="207"/>
      <c r="CB298" s="206"/>
      <c r="CC298" s="207"/>
      <c r="CD298" s="206"/>
      <c r="CE298" s="207"/>
      <c r="CF298" s="206"/>
      <c r="CG298" s="207"/>
      <c r="CH298" s="206"/>
      <c r="CI298" s="216"/>
      <c r="CJ298" s="219">
        <f t="shared" si="161"/>
        <v>63.47107438016512</v>
      </c>
      <c r="CK298" s="202">
        <f t="shared" si="162"/>
        <v>57.514792899408128</v>
      </c>
      <c r="CL298" s="203">
        <f t="shared" si="163"/>
        <v>43.199999999999882</v>
      </c>
      <c r="CM298" s="202">
        <f t="shared" si="164"/>
        <v>32.665406427221185</v>
      </c>
    </row>
    <row r="299" spans="1:91" ht="10.5" customHeight="1">
      <c r="A299" s="179" t="str">
        <f t="shared" si="159"/>
        <v/>
      </c>
      <c r="B299" s="201">
        <v>7.2999999999999901</v>
      </c>
      <c r="C299" s="200"/>
      <c r="D299" s="200"/>
      <c r="E299" s="200"/>
      <c r="F299" s="200"/>
      <c r="G299" s="200"/>
      <c r="H299" s="199"/>
      <c r="I299" s="198"/>
      <c r="J299" s="198"/>
      <c r="K299" s="198"/>
      <c r="L299" s="198"/>
      <c r="M299" s="198"/>
      <c r="N299" s="198"/>
      <c r="O299" s="198"/>
      <c r="P299" s="198"/>
      <c r="Q299" s="198"/>
      <c r="R299" s="198"/>
      <c r="S299" s="197"/>
      <c r="T299" s="194"/>
      <c r="U299" s="197"/>
      <c r="V299" s="194"/>
      <c r="W299" s="195"/>
      <c r="X299" s="195"/>
      <c r="Y299" s="194"/>
      <c r="Z299" s="195"/>
      <c r="AA299" s="195"/>
      <c r="AB299" s="194"/>
      <c r="AC299" s="195"/>
      <c r="AD299" s="195"/>
      <c r="AE299" s="194"/>
      <c r="AF299" s="195"/>
      <c r="AG299" s="195"/>
      <c r="AH299" s="196"/>
      <c r="AI299" s="195"/>
      <c r="AJ299" s="195"/>
      <c r="AK299" s="194"/>
      <c r="AL299" s="195"/>
      <c r="AM299" s="195"/>
      <c r="AN299" s="194"/>
      <c r="AO299" s="195"/>
      <c r="AP299" s="195"/>
      <c r="AQ299" s="194"/>
      <c r="AR299" s="195"/>
      <c r="AS299" s="195"/>
      <c r="AT299" s="194"/>
      <c r="AU299" s="195"/>
      <c r="AV299" s="195"/>
      <c r="AW299" s="194"/>
      <c r="AX299" s="195"/>
      <c r="AY299" s="195"/>
      <c r="AZ299" s="194"/>
      <c r="BA299" s="195"/>
      <c r="BB299" s="194"/>
      <c r="BC299" s="195"/>
      <c r="BD299" s="195"/>
      <c r="BE299" s="194"/>
      <c r="BF299" s="195"/>
      <c r="BG299" s="195"/>
      <c r="BH299" s="194"/>
      <c r="BI299" s="195"/>
      <c r="BJ299" s="195"/>
      <c r="BK299" s="194"/>
      <c r="BL299" s="195"/>
      <c r="BM299" s="195"/>
      <c r="BN299" s="194"/>
      <c r="BO299" s="195"/>
      <c r="BP299" s="194"/>
      <c r="BQ299" s="195"/>
      <c r="BR299" s="195"/>
      <c r="BS299" s="194"/>
      <c r="BT299" s="195"/>
      <c r="BU299" s="194"/>
      <c r="BV299" s="195"/>
      <c r="BW299" s="194"/>
      <c r="BX299" s="195"/>
      <c r="BY299" s="194"/>
      <c r="BZ299" s="195"/>
      <c r="CA299" s="194"/>
      <c r="CB299" s="195"/>
      <c r="CC299" s="194"/>
      <c r="CD299" s="195"/>
      <c r="CE299" s="194"/>
      <c r="CF299" s="195"/>
      <c r="CG299" s="194"/>
      <c r="CH299" s="195"/>
      <c r="CI299" s="218"/>
      <c r="CJ299" s="217">
        <f t="shared" si="161"/>
        <v>65.246403428221427</v>
      </c>
      <c r="CK299" s="191">
        <f t="shared" si="162"/>
        <v>59.123520710059012</v>
      </c>
      <c r="CL299" s="192">
        <f t="shared" si="163"/>
        <v>44.408333333333218</v>
      </c>
      <c r="CM299" s="191">
        <f t="shared" si="164"/>
        <v>33.579080025204789</v>
      </c>
    </row>
    <row r="300" spans="1:91" ht="10.5" customHeight="1">
      <c r="A300" s="179" t="str">
        <f t="shared" si="159"/>
        <v/>
      </c>
      <c r="B300" s="190">
        <v>7.3999999999999897</v>
      </c>
      <c r="C300" s="189"/>
      <c r="D300" s="189"/>
      <c r="E300" s="189"/>
      <c r="F300" s="189"/>
      <c r="G300" s="189"/>
      <c r="H300" s="188"/>
      <c r="I300" s="187"/>
      <c r="J300" s="187"/>
      <c r="K300" s="187"/>
      <c r="L300" s="187"/>
      <c r="M300" s="187"/>
      <c r="N300" s="187"/>
      <c r="O300" s="187"/>
      <c r="P300" s="187"/>
      <c r="Q300" s="187"/>
      <c r="R300" s="187"/>
      <c r="S300" s="186"/>
      <c r="T300" s="183"/>
      <c r="U300" s="186"/>
      <c r="V300" s="183"/>
      <c r="W300" s="184"/>
      <c r="X300" s="184"/>
      <c r="Y300" s="183"/>
      <c r="Z300" s="184"/>
      <c r="AA300" s="184"/>
      <c r="AB300" s="183"/>
      <c r="AC300" s="184"/>
      <c r="AD300" s="184"/>
      <c r="AE300" s="183"/>
      <c r="AF300" s="184"/>
      <c r="AG300" s="184"/>
      <c r="AH300" s="185"/>
      <c r="AI300" s="184"/>
      <c r="AJ300" s="184"/>
      <c r="AK300" s="183"/>
      <c r="AL300" s="184"/>
      <c r="AM300" s="184"/>
      <c r="AN300" s="183"/>
      <c r="AO300" s="184"/>
      <c r="AP300" s="184"/>
      <c r="AQ300" s="183"/>
      <c r="AR300" s="184"/>
      <c r="AS300" s="184"/>
      <c r="AT300" s="183"/>
      <c r="AU300" s="184"/>
      <c r="AV300" s="184"/>
      <c r="AW300" s="183"/>
      <c r="AX300" s="184"/>
      <c r="AY300" s="184"/>
      <c r="AZ300" s="183"/>
      <c r="BA300" s="184"/>
      <c r="BB300" s="183"/>
      <c r="BC300" s="184"/>
      <c r="BD300" s="184"/>
      <c r="BE300" s="183"/>
      <c r="BF300" s="184"/>
      <c r="BG300" s="184"/>
      <c r="BH300" s="183"/>
      <c r="BI300" s="184"/>
      <c r="BJ300" s="184"/>
      <c r="BK300" s="183"/>
      <c r="BL300" s="184"/>
      <c r="BM300" s="184"/>
      <c r="BN300" s="183"/>
      <c r="BO300" s="184"/>
      <c r="BP300" s="183"/>
      <c r="BQ300" s="184"/>
      <c r="BR300" s="184"/>
      <c r="BS300" s="183"/>
      <c r="BT300" s="184"/>
      <c r="BU300" s="183"/>
      <c r="BV300" s="184"/>
      <c r="BW300" s="183"/>
      <c r="BX300" s="184"/>
      <c r="BY300" s="183"/>
      <c r="BZ300" s="184"/>
      <c r="CA300" s="183"/>
      <c r="CB300" s="184"/>
      <c r="CC300" s="183"/>
      <c r="CD300" s="184"/>
      <c r="CE300" s="183"/>
      <c r="CF300" s="184"/>
      <c r="CG300" s="183"/>
      <c r="CH300" s="184"/>
      <c r="CI300" s="216"/>
      <c r="CJ300" s="214">
        <f t="shared" si="161"/>
        <v>67.046219773492311</v>
      </c>
      <c r="CK300" s="180">
        <f t="shared" si="162"/>
        <v>60.754437869822318</v>
      </c>
      <c r="CL300" s="181">
        <f t="shared" si="163"/>
        <v>45.633333333333205</v>
      </c>
      <c r="CM300" s="180">
        <f t="shared" si="164"/>
        <v>34.505356017643358</v>
      </c>
    </row>
    <row r="301" spans="1:91" ht="10.5" customHeight="1">
      <c r="A301" s="179" t="str">
        <f t="shared" si="159"/>
        <v/>
      </c>
      <c r="B301" s="190">
        <v>7.4999999999999902</v>
      </c>
      <c r="C301" s="189"/>
      <c r="D301" s="189"/>
      <c r="E301" s="189"/>
      <c r="F301" s="189"/>
      <c r="G301" s="189"/>
      <c r="H301" s="188"/>
      <c r="I301" s="187"/>
      <c r="J301" s="187"/>
      <c r="K301" s="187"/>
      <c r="L301" s="187"/>
      <c r="M301" s="187"/>
      <c r="N301" s="187"/>
      <c r="O301" s="187"/>
      <c r="P301" s="187"/>
      <c r="Q301" s="187"/>
      <c r="R301" s="187"/>
      <c r="S301" s="186"/>
      <c r="T301" s="183"/>
      <c r="U301" s="186"/>
      <c r="V301" s="183"/>
      <c r="W301" s="184"/>
      <c r="X301" s="184"/>
      <c r="Y301" s="183"/>
      <c r="Z301" s="184"/>
      <c r="AA301" s="184"/>
      <c r="AB301" s="183"/>
      <c r="AC301" s="184"/>
      <c r="AD301" s="184"/>
      <c r="AE301" s="183"/>
      <c r="AF301" s="184"/>
      <c r="AG301" s="184"/>
      <c r="AH301" s="185"/>
      <c r="AI301" s="184"/>
      <c r="AJ301" s="184"/>
      <c r="AK301" s="183"/>
      <c r="AL301" s="184"/>
      <c r="AM301" s="184"/>
      <c r="AN301" s="183"/>
      <c r="AO301" s="184"/>
      <c r="AP301" s="184"/>
      <c r="AQ301" s="183"/>
      <c r="AR301" s="184"/>
      <c r="AS301" s="184"/>
      <c r="AT301" s="183"/>
      <c r="AU301" s="184"/>
      <c r="AV301" s="184"/>
      <c r="AW301" s="183"/>
      <c r="AX301" s="184"/>
      <c r="AY301" s="184"/>
      <c r="AZ301" s="183"/>
      <c r="BA301" s="184"/>
      <c r="BB301" s="183"/>
      <c r="BC301" s="184"/>
      <c r="BD301" s="184"/>
      <c r="BE301" s="183"/>
      <c r="BF301" s="184"/>
      <c r="BG301" s="184"/>
      <c r="BH301" s="183"/>
      <c r="BI301" s="184"/>
      <c r="BJ301" s="184"/>
      <c r="BK301" s="183"/>
      <c r="BL301" s="184"/>
      <c r="BM301" s="184"/>
      <c r="BN301" s="183"/>
      <c r="BO301" s="184"/>
      <c r="BP301" s="183"/>
      <c r="BQ301" s="184"/>
      <c r="BR301" s="184"/>
      <c r="BS301" s="183"/>
      <c r="BT301" s="184"/>
      <c r="BU301" s="183"/>
      <c r="BV301" s="184"/>
      <c r="BW301" s="183"/>
      <c r="BX301" s="184"/>
      <c r="BY301" s="183"/>
      <c r="BZ301" s="184"/>
      <c r="CA301" s="183"/>
      <c r="CB301" s="184"/>
      <c r="CC301" s="183"/>
      <c r="CD301" s="184"/>
      <c r="CE301" s="183"/>
      <c r="CF301" s="184"/>
      <c r="CG301" s="183"/>
      <c r="CH301" s="184"/>
      <c r="CI301" s="215"/>
      <c r="CJ301" s="214">
        <f t="shared" si="161"/>
        <v>68.870523415977786</v>
      </c>
      <c r="CK301" s="180">
        <f t="shared" si="162"/>
        <v>62.407544378698049</v>
      </c>
      <c r="CL301" s="181">
        <f t="shared" si="163"/>
        <v>46.874999999999879</v>
      </c>
      <c r="CM301" s="180">
        <f t="shared" si="164"/>
        <v>35.444234404536871</v>
      </c>
    </row>
    <row r="302" spans="1:91" ht="10.5" customHeight="1" thickBot="1">
      <c r="A302" s="179" t="str">
        <f t="shared" si="159"/>
        <v/>
      </c>
      <c r="B302" s="213">
        <v>7.5999999999999899</v>
      </c>
      <c r="C302" s="212"/>
      <c r="D302" s="212"/>
      <c r="E302" s="212"/>
      <c r="F302" s="212"/>
      <c r="G302" s="212"/>
      <c r="H302" s="211"/>
      <c r="I302" s="210"/>
      <c r="J302" s="210"/>
      <c r="K302" s="210"/>
      <c r="L302" s="210"/>
      <c r="M302" s="210"/>
      <c r="N302" s="210"/>
      <c r="O302" s="210"/>
      <c r="P302" s="210"/>
      <c r="Q302" s="210"/>
      <c r="R302" s="210"/>
      <c r="S302" s="209"/>
      <c r="T302" s="207"/>
      <c r="U302" s="209"/>
      <c r="V302" s="207"/>
      <c r="W302" s="206"/>
      <c r="X302" s="206"/>
      <c r="Y302" s="207"/>
      <c r="Z302" s="206"/>
      <c r="AA302" s="206"/>
      <c r="AB302" s="207"/>
      <c r="AC302" s="206"/>
      <c r="AD302" s="206"/>
      <c r="AE302" s="207"/>
      <c r="AF302" s="206"/>
      <c r="AG302" s="206"/>
      <c r="AH302" s="208"/>
      <c r="AI302" s="206"/>
      <c r="AJ302" s="206"/>
      <c r="AK302" s="207"/>
      <c r="AL302" s="206"/>
      <c r="AM302" s="206"/>
      <c r="AN302" s="207"/>
      <c r="AO302" s="206"/>
      <c r="AP302" s="206"/>
      <c r="AQ302" s="207"/>
      <c r="AR302" s="206"/>
      <c r="AS302" s="206"/>
      <c r="AT302" s="207"/>
      <c r="AU302" s="206"/>
      <c r="AV302" s="206"/>
      <c r="AW302" s="207"/>
      <c r="AX302" s="206"/>
      <c r="AY302" s="206"/>
      <c r="AZ302" s="207"/>
      <c r="BA302" s="206"/>
      <c r="BB302" s="207"/>
      <c r="BC302" s="206"/>
      <c r="BD302" s="206"/>
      <c r="BE302" s="207"/>
      <c r="BF302" s="206"/>
      <c r="BG302" s="206"/>
      <c r="BH302" s="207"/>
      <c r="BI302" s="206"/>
      <c r="BJ302" s="206"/>
      <c r="BK302" s="207"/>
      <c r="BL302" s="206"/>
      <c r="BM302" s="206"/>
      <c r="BN302" s="207"/>
      <c r="BO302" s="206"/>
      <c r="BP302" s="207"/>
      <c r="BQ302" s="206"/>
      <c r="BR302" s="206"/>
      <c r="BS302" s="207"/>
      <c r="BT302" s="206"/>
      <c r="BU302" s="207"/>
      <c r="BV302" s="206"/>
      <c r="BW302" s="207"/>
      <c r="BX302" s="206"/>
      <c r="BY302" s="207"/>
      <c r="BZ302" s="206"/>
      <c r="CA302" s="207"/>
      <c r="CB302" s="206"/>
      <c r="CC302" s="207"/>
      <c r="CD302" s="206"/>
      <c r="CE302" s="207"/>
      <c r="CF302" s="206"/>
      <c r="CG302" s="207"/>
      <c r="CH302" s="206"/>
      <c r="CI302" s="205"/>
      <c r="CJ302" s="204">
        <f t="shared" si="161"/>
        <v>70.719314355677795</v>
      </c>
      <c r="CK302" s="202">
        <f t="shared" si="162"/>
        <v>64.082840236686209</v>
      </c>
      <c r="CL302" s="203">
        <f t="shared" si="163"/>
        <v>48.133333333333212</v>
      </c>
      <c r="CM302" s="202">
        <f t="shared" si="164"/>
        <v>36.395715185885336</v>
      </c>
    </row>
    <row r="303" spans="1:91" ht="10.5" customHeight="1">
      <c r="A303" s="179" t="str">
        <f t="shared" si="159"/>
        <v/>
      </c>
      <c r="B303" s="201">
        <v>7.6999999999999904</v>
      </c>
      <c r="C303" s="200"/>
      <c r="D303" s="200"/>
      <c r="E303" s="200"/>
      <c r="F303" s="200"/>
      <c r="G303" s="200"/>
      <c r="H303" s="199"/>
      <c r="I303" s="198"/>
      <c r="J303" s="198"/>
      <c r="K303" s="198"/>
      <c r="L303" s="198"/>
      <c r="M303" s="198"/>
      <c r="N303" s="198"/>
      <c r="O303" s="198"/>
      <c r="P303" s="198"/>
      <c r="Q303" s="198"/>
      <c r="R303" s="198"/>
      <c r="S303" s="197"/>
      <c r="T303" s="194"/>
      <c r="U303" s="197"/>
      <c r="V303" s="194"/>
      <c r="W303" s="195"/>
      <c r="X303" s="195"/>
      <c r="Y303" s="194"/>
      <c r="Z303" s="195"/>
      <c r="AA303" s="195"/>
      <c r="AB303" s="194"/>
      <c r="AC303" s="195"/>
      <c r="AD303" s="195"/>
      <c r="AE303" s="194"/>
      <c r="AF303" s="195"/>
      <c r="AG303" s="195"/>
      <c r="AH303" s="196"/>
      <c r="AI303" s="195"/>
      <c r="AJ303" s="195"/>
      <c r="AK303" s="194"/>
      <c r="AL303" s="195"/>
      <c r="AM303" s="195"/>
      <c r="AN303" s="194"/>
      <c r="AO303" s="195"/>
      <c r="AP303" s="195"/>
      <c r="AQ303" s="194"/>
      <c r="AR303" s="195"/>
      <c r="AS303" s="195"/>
      <c r="AT303" s="194"/>
      <c r="AU303" s="195"/>
      <c r="AV303" s="195"/>
      <c r="AW303" s="194"/>
      <c r="AX303" s="195"/>
      <c r="AY303" s="195"/>
      <c r="AZ303" s="194"/>
      <c r="BA303" s="195"/>
      <c r="BB303" s="194"/>
      <c r="BC303" s="195"/>
      <c r="BD303" s="195"/>
      <c r="BE303" s="194"/>
      <c r="BF303" s="195"/>
      <c r="BG303" s="195"/>
      <c r="BH303" s="194"/>
      <c r="BI303" s="195"/>
      <c r="BJ303" s="195"/>
      <c r="BK303" s="194"/>
      <c r="BL303" s="195"/>
      <c r="BM303" s="195"/>
      <c r="BN303" s="194"/>
      <c r="BO303" s="195"/>
      <c r="BP303" s="194"/>
      <c r="BQ303" s="195"/>
      <c r="BR303" s="195"/>
      <c r="BS303" s="194"/>
      <c r="BT303" s="195"/>
      <c r="BU303" s="194"/>
      <c r="BV303" s="195"/>
      <c r="BW303" s="194"/>
      <c r="BX303" s="195"/>
      <c r="BY303" s="194"/>
      <c r="BZ303" s="195"/>
      <c r="CA303" s="194"/>
      <c r="CB303" s="195"/>
      <c r="CC303" s="194"/>
      <c r="CD303" s="195"/>
      <c r="CE303" s="194"/>
      <c r="CF303" s="195"/>
      <c r="CG303" s="194"/>
      <c r="CH303" s="195"/>
      <c r="CI303" s="194"/>
      <c r="CJ303" s="193"/>
      <c r="CK303" s="191">
        <f t="shared" si="162"/>
        <v>65.780325443786822</v>
      </c>
      <c r="CL303" s="192">
        <f t="shared" si="163"/>
        <v>49.408333333333204</v>
      </c>
      <c r="CM303" s="191">
        <f t="shared" si="164"/>
        <v>37.359798361688739</v>
      </c>
    </row>
    <row r="304" spans="1:91" ht="10.5" customHeight="1">
      <c r="A304" s="179" t="str">
        <f t="shared" si="159"/>
        <v/>
      </c>
      <c r="B304" s="190">
        <v>7.7999999999999901</v>
      </c>
      <c r="C304" s="189"/>
      <c r="D304" s="189"/>
      <c r="E304" s="189"/>
      <c r="F304" s="189"/>
      <c r="G304" s="189"/>
      <c r="H304" s="188"/>
      <c r="I304" s="187"/>
      <c r="J304" s="187"/>
      <c r="K304" s="187"/>
      <c r="L304" s="187"/>
      <c r="M304" s="187"/>
      <c r="N304" s="187"/>
      <c r="O304" s="187"/>
      <c r="P304" s="187"/>
      <c r="Q304" s="187"/>
      <c r="R304" s="187"/>
      <c r="S304" s="186"/>
      <c r="T304" s="183"/>
      <c r="U304" s="186"/>
      <c r="V304" s="183"/>
      <c r="W304" s="184"/>
      <c r="X304" s="184"/>
      <c r="Y304" s="183"/>
      <c r="Z304" s="184"/>
      <c r="AA304" s="184"/>
      <c r="AB304" s="183"/>
      <c r="AC304" s="184"/>
      <c r="AD304" s="184"/>
      <c r="AE304" s="183"/>
      <c r="AF304" s="184"/>
      <c r="AG304" s="184"/>
      <c r="AH304" s="185"/>
      <c r="AI304" s="184"/>
      <c r="AJ304" s="184"/>
      <c r="AK304" s="183"/>
      <c r="AL304" s="184"/>
      <c r="AM304" s="184"/>
      <c r="AN304" s="183"/>
      <c r="AO304" s="184"/>
      <c r="AP304" s="184"/>
      <c r="AQ304" s="183"/>
      <c r="AR304" s="184"/>
      <c r="AS304" s="184"/>
      <c r="AT304" s="183"/>
      <c r="AU304" s="184"/>
      <c r="AV304" s="184"/>
      <c r="AW304" s="183"/>
      <c r="AX304" s="184"/>
      <c r="AY304" s="184"/>
      <c r="AZ304" s="183"/>
      <c r="BA304" s="184"/>
      <c r="BB304" s="183"/>
      <c r="BC304" s="184"/>
      <c r="BD304" s="184"/>
      <c r="BE304" s="183"/>
      <c r="BF304" s="184"/>
      <c r="BG304" s="184"/>
      <c r="BH304" s="183"/>
      <c r="BI304" s="184"/>
      <c r="BJ304" s="184"/>
      <c r="BK304" s="183"/>
      <c r="BL304" s="184"/>
      <c r="BM304" s="184"/>
      <c r="BN304" s="183"/>
      <c r="BO304" s="184"/>
      <c r="BP304" s="183"/>
      <c r="BQ304" s="184"/>
      <c r="BR304" s="184"/>
      <c r="BS304" s="183"/>
      <c r="BT304" s="184"/>
      <c r="BU304" s="183"/>
      <c r="BV304" s="184"/>
      <c r="BW304" s="183"/>
      <c r="BX304" s="184"/>
      <c r="BY304" s="183"/>
      <c r="BZ304" s="184"/>
      <c r="CA304" s="183"/>
      <c r="CB304" s="184"/>
      <c r="CC304" s="183"/>
      <c r="CD304" s="184"/>
      <c r="CE304" s="183"/>
      <c r="CF304" s="184"/>
      <c r="CG304" s="183"/>
      <c r="CH304" s="184"/>
      <c r="CI304" s="183"/>
      <c r="CJ304" s="182"/>
      <c r="CK304" s="180">
        <f t="shared" si="162"/>
        <v>67.499999999999815</v>
      </c>
      <c r="CL304" s="181">
        <f t="shared" si="163"/>
        <v>50.699999999999868</v>
      </c>
      <c r="CM304" s="180">
        <f t="shared" si="164"/>
        <v>38.336483931947093</v>
      </c>
    </row>
    <row r="305" spans="1:91" ht="10.5" customHeight="1">
      <c r="A305" s="179" t="str">
        <f t="shared" si="159"/>
        <v/>
      </c>
      <c r="B305" s="190">
        <v>7.8999999999999897</v>
      </c>
      <c r="C305" s="189"/>
      <c r="D305" s="189"/>
      <c r="E305" s="189"/>
      <c r="F305" s="189"/>
      <c r="G305" s="189"/>
      <c r="H305" s="188"/>
      <c r="I305" s="187"/>
      <c r="J305" s="187"/>
      <c r="K305" s="187"/>
      <c r="L305" s="187"/>
      <c r="M305" s="187"/>
      <c r="N305" s="187"/>
      <c r="O305" s="187"/>
      <c r="P305" s="187"/>
      <c r="Q305" s="187"/>
      <c r="R305" s="187"/>
      <c r="S305" s="186"/>
      <c r="T305" s="183"/>
      <c r="U305" s="186"/>
      <c r="V305" s="183"/>
      <c r="W305" s="184"/>
      <c r="X305" s="184"/>
      <c r="Y305" s="183"/>
      <c r="Z305" s="184"/>
      <c r="AA305" s="184"/>
      <c r="AB305" s="183"/>
      <c r="AC305" s="184"/>
      <c r="AD305" s="184"/>
      <c r="AE305" s="183"/>
      <c r="AF305" s="184"/>
      <c r="AG305" s="184"/>
      <c r="AH305" s="185"/>
      <c r="AI305" s="184"/>
      <c r="AJ305" s="184"/>
      <c r="AK305" s="183"/>
      <c r="AL305" s="184"/>
      <c r="AM305" s="184"/>
      <c r="AN305" s="183"/>
      <c r="AO305" s="184"/>
      <c r="AP305" s="184"/>
      <c r="AQ305" s="183"/>
      <c r="AR305" s="184"/>
      <c r="AS305" s="184"/>
      <c r="AT305" s="183"/>
      <c r="AU305" s="184"/>
      <c r="AV305" s="184"/>
      <c r="AW305" s="183"/>
      <c r="AX305" s="184"/>
      <c r="AY305" s="184"/>
      <c r="AZ305" s="183"/>
      <c r="BA305" s="184"/>
      <c r="BB305" s="183"/>
      <c r="BC305" s="184"/>
      <c r="BD305" s="184"/>
      <c r="BE305" s="183"/>
      <c r="BF305" s="184"/>
      <c r="BG305" s="184"/>
      <c r="BH305" s="183"/>
      <c r="BI305" s="184"/>
      <c r="BJ305" s="184"/>
      <c r="BK305" s="183"/>
      <c r="BL305" s="184"/>
      <c r="BM305" s="184"/>
      <c r="BN305" s="183"/>
      <c r="BO305" s="184"/>
      <c r="BP305" s="183"/>
      <c r="BQ305" s="184"/>
      <c r="BR305" s="184"/>
      <c r="BS305" s="183"/>
      <c r="BT305" s="184"/>
      <c r="BU305" s="183"/>
      <c r="BV305" s="184"/>
      <c r="BW305" s="183"/>
      <c r="BX305" s="184"/>
      <c r="BY305" s="183"/>
      <c r="BZ305" s="184"/>
      <c r="CA305" s="183"/>
      <c r="CB305" s="184"/>
      <c r="CC305" s="183"/>
      <c r="CD305" s="184"/>
      <c r="CE305" s="183"/>
      <c r="CF305" s="184"/>
      <c r="CG305" s="183"/>
      <c r="CH305" s="184"/>
      <c r="CI305" s="183"/>
      <c r="CJ305" s="182"/>
      <c r="CK305" s="180">
        <f t="shared" si="162"/>
        <v>69.241863905325246</v>
      </c>
      <c r="CL305" s="181">
        <f t="shared" si="163"/>
        <v>52.008333333333191</v>
      </c>
      <c r="CM305" s="180">
        <f t="shared" si="164"/>
        <v>39.325771896660385</v>
      </c>
    </row>
    <row r="306" spans="1:91" ht="10.5" customHeight="1" thickBot="1">
      <c r="A306" s="179" t="str">
        <f t="shared" si="159"/>
        <v/>
      </c>
      <c r="B306" s="178">
        <v>7.9999999999999902</v>
      </c>
      <c r="C306" s="177"/>
      <c r="D306" s="177"/>
      <c r="E306" s="177"/>
      <c r="F306" s="177"/>
      <c r="G306" s="177"/>
      <c r="H306" s="176"/>
      <c r="I306" s="175"/>
      <c r="J306" s="175"/>
      <c r="K306" s="175"/>
      <c r="L306" s="175"/>
      <c r="M306" s="175"/>
      <c r="N306" s="175"/>
      <c r="O306" s="175"/>
      <c r="P306" s="175"/>
      <c r="Q306" s="175"/>
      <c r="R306" s="175"/>
      <c r="S306" s="174"/>
      <c r="T306" s="171"/>
      <c r="U306" s="174"/>
      <c r="V306" s="171"/>
      <c r="W306" s="172"/>
      <c r="X306" s="172"/>
      <c r="Y306" s="171"/>
      <c r="Z306" s="172"/>
      <c r="AA306" s="172"/>
      <c r="AB306" s="171"/>
      <c r="AC306" s="172"/>
      <c r="AD306" s="172"/>
      <c r="AE306" s="171"/>
      <c r="AF306" s="172"/>
      <c r="AG306" s="172"/>
      <c r="AH306" s="173"/>
      <c r="AI306" s="172"/>
      <c r="AJ306" s="172"/>
      <c r="AK306" s="171"/>
      <c r="AL306" s="172"/>
      <c r="AM306" s="172"/>
      <c r="AN306" s="171"/>
      <c r="AO306" s="172"/>
      <c r="AP306" s="172"/>
      <c r="AQ306" s="171"/>
      <c r="AR306" s="172"/>
      <c r="AS306" s="172"/>
      <c r="AT306" s="171"/>
      <c r="AU306" s="172"/>
      <c r="AV306" s="172"/>
      <c r="AW306" s="171"/>
      <c r="AX306" s="172"/>
      <c r="AY306" s="172"/>
      <c r="AZ306" s="171"/>
      <c r="BA306" s="172"/>
      <c r="BB306" s="171"/>
      <c r="BC306" s="172"/>
      <c r="BD306" s="172"/>
      <c r="BE306" s="171"/>
      <c r="BF306" s="172"/>
      <c r="BG306" s="172"/>
      <c r="BH306" s="171"/>
      <c r="BI306" s="172"/>
      <c r="BJ306" s="172"/>
      <c r="BK306" s="171"/>
      <c r="BL306" s="172"/>
      <c r="BM306" s="172"/>
      <c r="BN306" s="171"/>
      <c r="BO306" s="172"/>
      <c r="BP306" s="171"/>
      <c r="BQ306" s="172"/>
      <c r="BR306" s="172"/>
      <c r="BS306" s="171"/>
      <c r="BT306" s="172"/>
      <c r="BU306" s="171"/>
      <c r="BV306" s="172"/>
      <c r="BW306" s="171"/>
      <c r="BX306" s="172"/>
      <c r="BY306" s="171"/>
      <c r="BZ306" s="172"/>
      <c r="CA306" s="171"/>
      <c r="CB306" s="172"/>
      <c r="CC306" s="171"/>
      <c r="CD306" s="172"/>
      <c r="CE306" s="171"/>
      <c r="CF306" s="172"/>
      <c r="CG306" s="171"/>
      <c r="CH306" s="172"/>
      <c r="CI306" s="171"/>
      <c r="CJ306" s="170"/>
      <c r="CK306" s="168">
        <f t="shared" si="162"/>
        <v>71.005917159763143</v>
      </c>
      <c r="CL306" s="169">
        <f t="shared" si="163"/>
        <v>53.333333333333201</v>
      </c>
      <c r="CM306" s="168">
        <f t="shared" si="164"/>
        <v>40.327662255828628</v>
      </c>
    </row>
    <row r="307" spans="1:91" ht="13.5" customHeight="1">
      <c r="B307" s="167"/>
      <c r="C307" s="166"/>
      <c r="D307" s="166"/>
      <c r="E307" s="166"/>
      <c r="F307" s="166"/>
      <c r="G307" s="166"/>
      <c r="H307" s="166"/>
      <c r="I307" s="165"/>
      <c r="J307" s="165"/>
      <c r="K307" s="165"/>
      <c r="L307" s="165"/>
      <c r="M307" s="165"/>
      <c r="N307" s="165"/>
      <c r="O307" s="165"/>
      <c r="P307" s="165"/>
      <c r="Q307" s="165"/>
      <c r="R307" s="165"/>
      <c r="S307" s="165"/>
      <c r="T307" s="165"/>
      <c r="U307" s="165"/>
      <c r="V307" s="165"/>
      <c r="W307" s="165"/>
      <c r="X307" s="165"/>
      <c r="Y307" s="163"/>
      <c r="Z307" s="165"/>
      <c r="AA307" s="165"/>
      <c r="AB307" s="165"/>
      <c r="AC307" s="165"/>
      <c r="AD307" s="165"/>
      <c r="AE307" s="165"/>
      <c r="AF307" s="165"/>
      <c r="AG307" s="165"/>
      <c r="AH307" s="165"/>
      <c r="AI307" s="165"/>
      <c r="AJ307" s="165"/>
      <c r="AK307" s="165"/>
      <c r="AL307" s="165"/>
      <c r="AM307" s="165"/>
      <c r="AN307" s="165"/>
      <c r="AO307" s="165"/>
      <c r="AP307" s="165"/>
      <c r="AQ307" s="165"/>
      <c r="AR307" s="165"/>
      <c r="AS307" s="165"/>
      <c r="AT307" s="165"/>
      <c r="AU307" s="165"/>
      <c r="AV307" s="165"/>
      <c r="AW307" s="165"/>
      <c r="AX307" s="165"/>
      <c r="AY307" s="165"/>
      <c r="AZ307" s="165"/>
      <c r="BA307" s="165"/>
      <c r="BB307" s="165"/>
      <c r="BC307" s="165"/>
      <c r="BD307" s="165"/>
      <c r="BE307" s="165"/>
      <c r="BF307" s="165"/>
      <c r="BG307" s="165"/>
      <c r="BH307" s="165"/>
      <c r="BI307" s="165"/>
      <c r="BJ307" s="165"/>
      <c r="BK307" s="165"/>
      <c r="BL307" s="165"/>
      <c r="BM307" s="165"/>
      <c r="BN307" s="165"/>
      <c r="BO307" s="165"/>
      <c r="BP307" s="165"/>
      <c r="BQ307" s="165"/>
      <c r="BR307" s="165"/>
      <c r="BS307" s="165"/>
      <c r="BT307" s="165"/>
      <c r="BU307" s="165"/>
      <c r="BV307" s="165"/>
      <c r="BW307" s="165"/>
      <c r="BX307" s="165"/>
      <c r="BY307" s="165"/>
      <c r="BZ307" s="165"/>
      <c r="CA307" s="165"/>
      <c r="CB307" s="165"/>
      <c r="CC307" s="165"/>
      <c r="CD307" s="165"/>
      <c r="CE307" s="165"/>
      <c r="CF307" s="165"/>
      <c r="CG307" s="165"/>
      <c r="CH307" s="162"/>
      <c r="CI307" s="162"/>
      <c r="CJ307" s="162"/>
      <c r="CK307" s="162"/>
      <c r="CL307" s="162"/>
      <c r="CM307" s="162"/>
    </row>
    <row r="308" spans="1:91">
      <c r="B308" s="164"/>
      <c r="C308" s="164"/>
      <c r="D308" s="164"/>
      <c r="E308" s="164"/>
      <c r="F308" s="164"/>
      <c r="G308" s="164"/>
      <c r="H308" s="164"/>
      <c r="I308" s="163"/>
      <c r="J308" s="163"/>
      <c r="K308" s="163"/>
      <c r="L308" s="163"/>
      <c r="M308" s="163"/>
      <c r="N308" s="163"/>
      <c r="O308" s="163"/>
      <c r="P308" s="163"/>
      <c r="Q308" s="163"/>
      <c r="R308" s="163"/>
      <c r="S308" s="163"/>
      <c r="T308" s="163"/>
      <c r="U308" s="163"/>
      <c r="V308" s="163"/>
      <c r="W308" s="163"/>
      <c r="X308" s="163"/>
      <c r="Y308" s="163"/>
      <c r="Z308" s="163"/>
      <c r="AA308" s="163"/>
      <c r="AB308" s="163"/>
      <c r="AC308" s="163"/>
      <c r="AD308" s="163"/>
      <c r="AE308" s="163"/>
      <c r="AF308" s="163"/>
      <c r="AG308" s="163"/>
      <c r="AH308" s="163"/>
      <c r="AI308" s="163"/>
      <c r="AJ308" s="163"/>
      <c r="AK308" s="163"/>
      <c r="AL308" s="163"/>
      <c r="AM308" s="163"/>
      <c r="AN308" s="163"/>
      <c r="AO308" s="163"/>
      <c r="AP308" s="163"/>
      <c r="AQ308" s="163"/>
      <c r="AR308" s="163"/>
      <c r="AS308" s="163"/>
      <c r="AT308" s="163"/>
      <c r="AU308" s="163"/>
      <c r="AV308" s="163"/>
      <c r="AW308" s="163"/>
      <c r="AX308" s="163"/>
      <c r="AY308" s="163"/>
      <c r="AZ308" s="163"/>
      <c r="BA308" s="163"/>
      <c r="BB308" s="163"/>
      <c r="BC308" s="163"/>
      <c r="BD308" s="163"/>
      <c r="BE308" s="163"/>
      <c r="BF308" s="163"/>
      <c r="BG308" s="163"/>
      <c r="BH308" s="163"/>
      <c r="BI308" s="163"/>
      <c r="BJ308" s="163"/>
      <c r="BK308" s="163"/>
      <c r="BL308" s="163"/>
      <c r="BM308" s="163"/>
      <c r="BN308" s="163"/>
      <c r="BO308" s="163"/>
      <c r="BP308" s="163"/>
      <c r="BQ308" s="163"/>
      <c r="BR308" s="163"/>
      <c r="BS308" s="163"/>
      <c r="BT308" s="163"/>
      <c r="BU308" s="163"/>
      <c r="BV308" s="163"/>
      <c r="BW308" s="163"/>
      <c r="BX308" s="163"/>
      <c r="BY308" s="163"/>
      <c r="BZ308" s="163"/>
      <c r="CA308" s="163"/>
      <c r="CB308" s="163"/>
      <c r="CC308" s="163"/>
      <c r="CD308" s="163"/>
      <c r="CE308" s="163"/>
      <c r="CF308" s="163"/>
      <c r="CG308" s="163"/>
      <c r="CH308" s="162"/>
      <c r="CI308" s="162"/>
      <c r="CJ308" s="162"/>
      <c r="CK308" s="162"/>
      <c r="CL308" s="162"/>
      <c r="CM308" s="162"/>
    </row>
    <row r="309" spans="1:91">
      <c r="B309" s="164"/>
      <c r="C309" s="164"/>
      <c r="D309" s="164"/>
      <c r="E309" s="164"/>
      <c r="F309" s="164"/>
      <c r="G309" s="164"/>
      <c r="H309" s="164"/>
      <c r="I309" s="163"/>
      <c r="J309" s="163"/>
      <c r="K309" s="163"/>
      <c r="L309" s="163"/>
      <c r="M309" s="163"/>
      <c r="N309" s="163"/>
      <c r="O309" s="163"/>
      <c r="P309" s="163"/>
      <c r="Q309" s="163"/>
      <c r="R309" s="163"/>
      <c r="S309" s="163"/>
      <c r="T309" s="163"/>
      <c r="U309" s="163"/>
      <c r="V309" s="163"/>
      <c r="W309" s="163"/>
      <c r="X309" s="163"/>
      <c r="Y309" s="163"/>
      <c r="Z309" s="163"/>
      <c r="AA309" s="163"/>
      <c r="AB309" s="163"/>
      <c r="AC309" s="163"/>
      <c r="AD309" s="163"/>
      <c r="AE309" s="163"/>
      <c r="AF309" s="163"/>
      <c r="AG309" s="163"/>
      <c r="AH309" s="163"/>
      <c r="AI309" s="163"/>
      <c r="AJ309" s="163"/>
      <c r="AK309" s="163"/>
      <c r="AL309" s="163"/>
      <c r="AM309" s="163"/>
      <c r="AN309" s="163"/>
      <c r="AO309" s="163"/>
      <c r="AP309" s="163"/>
      <c r="AQ309" s="163"/>
      <c r="AR309" s="163"/>
      <c r="AS309" s="163"/>
      <c r="AT309" s="163"/>
      <c r="AU309" s="163"/>
      <c r="AV309" s="163"/>
      <c r="AW309" s="163"/>
      <c r="AX309" s="163"/>
      <c r="AY309" s="163"/>
      <c r="AZ309" s="163"/>
      <c r="BA309" s="163"/>
      <c r="BB309" s="163"/>
      <c r="BC309" s="163"/>
      <c r="BD309" s="163"/>
      <c r="BE309" s="163"/>
      <c r="BF309" s="163"/>
      <c r="BG309" s="163"/>
      <c r="BH309" s="163"/>
      <c r="BI309" s="163"/>
      <c r="BJ309" s="163"/>
      <c r="BK309" s="163"/>
      <c r="BL309" s="163"/>
      <c r="BM309" s="163"/>
      <c r="BN309" s="163"/>
      <c r="BO309" s="163"/>
      <c r="BP309" s="163"/>
      <c r="BQ309" s="163"/>
      <c r="BR309" s="163"/>
      <c r="BS309" s="163"/>
      <c r="BT309" s="163"/>
      <c r="BU309" s="163"/>
      <c r="BV309" s="163"/>
      <c r="BW309" s="163"/>
      <c r="BX309" s="163"/>
      <c r="BY309" s="163"/>
      <c r="BZ309" s="163"/>
      <c r="CA309" s="163"/>
      <c r="CB309" s="163"/>
      <c r="CC309" s="163"/>
      <c r="CD309" s="163"/>
      <c r="CE309" s="163"/>
      <c r="CF309" s="163"/>
      <c r="CG309" s="163"/>
      <c r="CH309" s="162"/>
      <c r="CI309" s="162"/>
      <c r="CJ309" s="162"/>
      <c r="CK309" s="162"/>
      <c r="CL309" s="162"/>
      <c r="CM309" s="162"/>
    </row>
    <row r="310" spans="1:91">
      <c r="B310" s="164"/>
      <c r="C310" s="164"/>
      <c r="D310" s="164"/>
      <c r="E310" s="164"/>
      <c r="F310" s="164"/>
      <c r="G310" s="164"/>
      <c r="H310" s="164"/>
      <c r="I310" s="163"/>
      <c r="J310" s="163"/>
      <c r="K310" s="163"/>
      <c r="L310" s="163"/>
      <c r="M310" s="163"/>
      <c r="N310" s="163"/>
      <c r="O310" s="163"/>
      <c r="P310" s="163"/>
      <c r="Q310" s="163"/>
      <c r="R310" s="163"/>
      <c r="S310" s="163"/>
      <c r="T310" s="163"/>
      <c r="U310" s="163"/>
      <c r="V310" s="163"/>
      <c r="W310" s="163"/>
      <c r="X310" s="163"/>
      <c r="Y310" s="163"/>
      <c r="Z310" s="163"/>
      <c r="AA310" s="163"/>
      <c r="AB310" s="163"/>
      <c r="AC310" s="163"/>
      <c r="AD310" s="163"/>
      <c r="AE310" s="163"/>
      <c r="AF310" s="163"/>
      <c r="AG310" s="163"/>
      <c r="AH310" s="163"/>
      <c r="AI310" s="163"/>
      <c r="AJ310" s="163"/>
      <c r="AK310" s="163"/>
      <c r="AL310" s="163"/>
      <c r="AM310" s="163"/>
      <c r="AN310" s="163"/>
      <c r="AO310" s="163"/>
      <c r="AP310" s="163"/>
      <c r="AQ310" s="163"/>
      <c r="AR310" s="163"/>
      <c r="AS310" s="163"/>
      <c r="AT310" s="163"/>
      <c r="AU310" s="163"/>
      <c r="AV310" s="163"/>
      <c r="AW310" s="163"/>
      <c r="AX310" s="163"/>
      <c r="AY310" s="163"/>
      <c r="AZ310" s="163"/>
      <c r="BA310" s="163"/>
      <c r="BB310" s="163"/>
      <c r="BC310" s="163"/>
      <c r="BD310" s="163"/>
      <c r="BE310" s="163"/>
      <c r="BF310" s="163"/>
      <c r="BG310" s="163"/>
      <c r="BH310" s="163"/>
      <c r="BI310" s="163"/>
      <c r="BJ310" s="163"/>
      <c r="BK310" s="163"/>
      <c r="BL310" s="163"/>
      <c r="BM310" s="163"/>
      <c r="BN310" s="163"/>
      <c r="BO310" s="163"/>
      <c r="BP310" s="163"/>
      <c r="BQ310" s="163"/>
      <c r="BR310" s="163"/>
      <c r="BS310" s="163"/>
      <c r="BT310" s="163"/>
      <c r="BU310" s="163"/>
      <c r="BV310" s="163"/>
      <c r="BW310" s="163"/>
      <c r="BX310" s="163"/>
      <c r="BY310" s="163"/>
      <c r="BZ310" s="163"/>
      <c r="CA310" s="163"/>
      <c r="CB310" s="163"/>
      <c r="CC310" s="163"/>
      <c r="CD310" s="163"/>
      <c r="CE310" s="163"/>
      <c r="CF310" s="163"/>
      <c r="CG310" s="163"/>
      <c r="CH310" s="162"/>
      <c r="CI310" s="162"/>
      <c r="CJ310" s="162"/>
      <c r="CK310" s="162"/>
      <c r="CL310" s="162"/>
      <c r="CM310" s="162"/>
    </row>
    <row r="311" spans="1:91">
      <c r="B311" s="164"/>
      <c r="C311" s="164"/>
      <c r="D311" s="164"/>
      <c r="E311" s="164"/>
      <c r="F311" s="164"/>
      <c r="G311" s="164"/>
      <c r="H311" s="164"/>
      <c r="I311" s="163"/>
      <c r="J311" s="163"/>
      <c r="K311" s="163"/>
      <c r="L311" s="163"/>
      <c r="M311" s="163"/>
      <c r="N311" s="163"/>
      <c r="O311" s="163"/>
      <c r="P311" s="163"/>
      <c r="Q311" s="163"/>
      <c r="R311" s="163"/>
      <c r="S311" s="163"/>
      <c r="T311" s="163"/>
      <c r="U311" s="163"/>
      <c r="V311" s="163"/>
      <c r="W311" s="163"/>
      <c r="X311" s="163"/>
      <c r="Y311" s="163"/>
      <c r="Z311" s="163"/>
      <c r="AA311" s="163"/>
      <c r="AB311" s="163"/>
      <c r="AC311" s="163"/>
      <c r="AD311" s="163"/>
      <c r="AE311" s="163"/>
      <c r="AF311" s="163"/>
      <c r="AG311" s="163"/>
      <c r="AH311" s="163"/>
      <c r="AI311" s="163"/>
      <c r="AJ311" s="163"/>
      <c r="AK311" s="163"/>
      <c r="AL311" s="163"/>
      <c r="AM311" s="163"/>
      <c r="AN311" s="163"/>
      <c r="AO311" s="163"/>
      <c r="AP311" s="163"/>
      <c r="AQ311" s="163"/>
      <c r="AR311" s="163"/>
      <c r="AS311" s="163"/>
      <c r="AT311" s="163"/>
      <c r="AU311" s="163"/>
      <c r="AV311" s="163"/>
      <c r="AW311" s="163"/>
      <c r="AX311" s="163"/>
      <c r="AY311" s="163"/>
      <c r="AZ311" s="163"/>
      <c r="BA311" s="163"/>
      <c r="BB311" s="163"/>
      <c r="BC311" s="163"/>
      <c r="BD311" s="163"/>
      <c r="BE311" s="163"/>
      <c r="BF311" s="163"/>
      <c r="BG311" s="163"/>
      <c r="BH311" s="163"/>
      <c r="BI311" s="163"/>
      <c r="BJ311" s="163"/>
      <c r="BK311" s="163"/>
      <c r="BL311" s="163"/>
      <c r="BM311" s="163"/>
      <c r="BN311" s="163"/>
      <c r="BO311" s="163"/>
      <c r="BP311" s="163"/>
      <c r="BQ311" s="163"/>
      <c r="BR311" s="163"/>
      <c r="BS311" s="163"/>
      <c r="BT311" s="163"/>
      <c r="BU311" s="163"/>
      <c r="BV311" s="163"/>
      <c r="BW311" s="163"/>
      <c r="BX311" s="163"/>
      <c r="BY311" s="163"/>
      <c r="BZ311" s="163"/>
      <c r="CA311" s="163"/>
      <c r="CB311" s="163"/>
      <c r="CC311" s="163"/>
      <c r="CD311" s="163"/>
      <c r="CE311" s="163"/>
      <c r="CF311" s="163"/>
      <c r="CG311" s="163"/>
      <c r="CH311" s="162"/>
      <c r="CI311" s="162"/>
      <c r="CJ311" s="162"/>
      <c r="CK311" s="162"/>
      <c r="CL311" s="162"/>
      <c r="CM311" s="162"/>
    </row>
    <row r="312" spans="1:91">
      <c r="B312" s="164"/>
      <c r="C312" s="164"/>
      <c r="D312" s="164"/>
      <c r="E312" s="164"/>
      <c r="F312" s="164"/>
      <c r="G312" s="164"/>
      <c r="H312" s="164"/>
      <c r="I312" s="163"/>
      <c r="J312" s="163"/>
      <c r="K312" s="163"/>
      <c r="L312" s="163"/>
      <c r="M312" s="163"/>
      <c r="N312" s="163"/>
      <c r="O312" s="163"/>
      <c r="P312" s="163"/>
      <c r="Q312" s="163"/>
      <c r="R312" s="163"/>
      <c r="S312" s="163"/>
      <c r="T312" s="163"/>
      <c r="U312" s="163"/>
      <c r="V312" s="163"/>
      <c r="W312" s="163"/>
      <c r="X312" s="163"/>
      <c r="Y312" s="163"/>
      <c r="Z312" s="163"/>
      <c r="AA312" s="163"/>
      <c r="AB312" s="163"/>
      <c r="AC312" s="163"/>
      <c r="AD312" s="163"/>
      <c r="AE312" s="163"/>
      <c r="AF312" s="163"/>
      <c r="AG312" s="163"/>
      <c r="AH312" s="163"/>
      <c r="AI312" s="163"/>
      <c r="AJ312" s="163"/>
      <c r="AK312" s="163"/>
      <c r="AL312" s="163"/>
      <c r="AM312" s="163"/>
      <c r="AN312" s="163"/>
      <c r="AO312" s="163"/>
      <c r="AP312" s="163"/>
      <c r="AQ312" s="163"/>
      <c r="AR312" s="163"/>
      <c r="AS312" s="163"/>
      <c r="AT312" s="163"/>
      <c r="AU312" s="163"/>
      <c r="AV312" s="163"/>
      <c r="AW312" s="163"/>
      <c r="AX312" s="163"/>
      <c r="AY312" s="163"/>
      <c r="AZ312" s="163"/>
      <c r="BA312" s="163"/>
      <c r="BB312" s="163"/>
      <c r="BC312" s="163"/>
      <c r="BD312" s="163"/>
      <c r="BE312" s="163"/>
      <c r="BF312" s="163"/>
      <c r="BG312" s="163"/>
      <c r="BH312" s="163"/>
      <c r="BI312" s="163"/>
      <c r="BJ312" s="163"/>
      <c r="BK312" s="163"/>
      <c r="BL312" s="163"/>
      <c r="BM312" s="163"/>
      <c r="BN312" s="163"/>
      <c r="BO312" s="163"/>
      <c r="BP312" s="163"/>
      <c r="BQ312" s="163"/>
      <c r="BR312" s="163"/>
      <c r="BS312" s="163"/>
      <c r="BT312" s="163"/>
      <c r="BU312" s="163"/>
      <c r="BV312" s="163"/>
      <c r="BW312" s="163"/>
      <c r="BX312" s="163"/>
      <c r="BY312" s="163"/>
      <c r="BZ312" s="163"/>
      <c r="CA312" s="163"/>
      <c r="CB312" s="163"/>
      <c r="CC312" s="163"/>
      <c r="CD312" s="163"/>
      <c r="CE312" s="163"/>
      <c r="CF312" s="163"/>
      <c r="CG312" s="163"/>
      <c r="CH312" s="162"/>
      <c r="CI312" s="162"/>
      <c r="CJ312" s="162"/>
      <c r="CK312" s="162"/>
      <c r="CL312" s="162"/>
      <c r="CM312" s="162"/>
    </row>
    <row r="313" spans="1:91">
      <c r="B313" s="164"/>
      <c r="C313" s="164"/>
      <c r="D313" s="164"/>
      <c r="E313" s="164"/>
      <c r="F313" s="164"/>
      <c r="G313" s="164"/>
      <c r="H313" s="164"/>
      <c r="I313" s="163"/>
      <c r="J313" s="163"/>
      <c r="K313" s="163"/>
      <c r="L313" s="163"/>
      <c r="M313" s="163"/>
      <c r="N313" s="163"/>
      <c r="O313" s="163"/>
      <c r="P313" s="163"/>
      <c r="Q313" s="163"/>
      <c r="R313" s="163"/>
      <c r="S313" s="163"/>
      <c r="T313" s="163"/>
      <c r="U313" s="163"/>
      <c r="V313" s="163"/>
      <c r="W313" s="163"/>
      <c r="X313" s="163"/>
      <c r="Y313" s="163"/>
      <c r="Z313" s="163"/>
      <c r="AA313" s="163"/>
      <c r="AB313" s="163"/>
      <c r="AC313" s="163"/>
      <c r="AD313" s="163"/>
      <c r="AE313" s="163"/>
      <c r="AF313" s="163"/>
      <c r="AG313" s="163"/>
      <c r="AH313" s="163"/>
      <c r="AI313" s="163"/>
      <c r="AJ313" s="163"/>
      <c r="AK313" s="163"/>
      <c r="AL313" s="163"/>
      <c r="AM313" s="163"/>
      <c r="AN313" s="163"/>
      <c r="AO313" s="163"/>
      <c r="AP313" s="163"/>
      <c r="AQ313" s="163"/>
      <c r="AR313" s="163"/>
      <c r="AS313" s="163"/>
      <c r="AT313" s="163"/>
      <c r="AU313" s="163"/>
      <c r="AV313" s="163"/>
      <c r="AW313" s="163"/>
      <c r="AX313" s="163"/>
      <c r="AY313" s="163"/>
      <c r="AZ313" s="163"/>
      <c r="BA313" s="163"/>
      <c r="BB313" s="163"/>
      <c r="BC313" s="163"/>
      <c r="BD313" s="163"/>
      <c r="BE313" s="163"/>
      <c r="BF313" s="163"/>
      <c r="BG313" s="163"/>
      <c r="BH313" s="163"/>
      <c r="BI313" s="163"/>
      <c r="BJ313" s="163"/>
      <c r="BK313" s="163"/>
      <c r="BL313" s="163"/>
      <c r="BM313" s="163"/>
      <c r="BN313" s="163"/>
      <c r="BO313" s="163"/>
      <c r="BP313" s="163"/>
      <c r="BQ313" s="163"/>
      <c r="BR313" s="163"/>
      <c r="BS313" s="163"/>
      <c r="BT313" s="163"/>
      <c r="BU313" s="163"/>
      <c r="BV313" s="163"/>
      <c r="BW313" s="163"/>
      <c r="BX313" s="163"/>
      <c r="BY313" s="163"/>
      <c r="BZ313" s="163"/>
      <c r="CA313" s="163"/>
      <c r="CB313" s="163"/>
      <c r="CC313" s="163"/>
      <c r="CD313" s="163"/>
      <c r="CE313" s="163"/>
      <c r="CF313" s="163"/>
      <c r="CG313" s="163"/>
      <c r="CH313" s="162"/>
      <c r="CI313" s="162"/>
      <c r="CJ313" s="162"/>
      <c r="CK313" s="162"/>
      <c r="CL313" s="162"/>
      <c r="CM313" s="162"/>
    </row>
    <row r="314" spans="1:91">
      <c r="C314" s="164"/>
      <c r="D314" s="164"/>
      <c r="E314" s="164"/>
      <c r="F314" s="164"/>
      <c r="G314" s="164"/>
      <c r="H314" s="164"/>
      <c r="I314" s="163"/>
      <c r="J314" s="163"/>
      <c r="K314" s="163"/>
      <c r="L314" s="163"/>
      <c r="M314" s="163"/>
      <c r="N314" s="163"/>
      <c r="O314" s="163"/>
      <c r="P314" s="163"/>
      <c r="Q314" s="163"/>
      <c r="R314" s="163"/>
      <c r="S314" s="163"/>
      <c r="T314" s="163"/>
      <c r="U314" s="163"/>
      <c r="V314" s="163"/>
      <c r="W314" s="163"/>
      <c r="X314" s="163"/>
      <c r="Y314" s="163"/>
      <c r="Z314" s="163"/>
      <c r="AA314" s="163"/>
      <c r="AB314" s="163"/>
      <c r="AC314" s="163"/>
      <c r="AD314" s="163"/>
      <c r="AE314" s="163"/>
      <c r="AF314" s="163"/>
      <c r="AG314" s="163"/>
      <c r="AH314" s="163"/>
      <c r="AI314" s="163"/>
      <c r="AJ314" s="163"/>
      <c r="AK314" s="163"/>
      <c r="AL314" s="163"/>
      <c r="AM314" s="163"/>
      <c r="AN314" s="163"/>
      <c r="AO314" s="163"/>
      <c r="AP314" s="163"/>
      <c r="AQ314" s="163"/>
      <c r="AR314" s="163"/>
      <c r="AS314" s="163"/>
      <c r="AT314" s="163"/>
      <c r="AU314" s="163"/>
      <c r="AV314" s="163"/>
      <c r="AW314" s="163"/>
      <c r="AX314" s="163"/>
      <c r="AY314" s="163"/>
      <c r="AZ314" s="163"/>
      <c r="BA314" s="163"/>
      <c r="BB314" s="163"/>
      <c r="BC314" s="163"/>
      <c r="BD314" s="163"/>
      <c r="BE314" s="163"/>
      <c r="BF314" s="163"/>
      <c r="BG314" s="163"/>
      <c r="BH314" s="163"/>
      <c r="BI314" s="163"/>
      <c r="BJ314" s="163"/>
      <c r="BK314" s="163"/>
      <c r="BL314" s="163"/>
      <c r="BM314" s="163"/>
      <c r="BN314" s="163"/>
      <c r="BO314" s="163"/>
      <c r="BP314" s="163"/>
      <c r="BQ314" s="163"/>
      <c r="BR314" s="163"/>
      <c r="BS314" s="163"/>
      <c r="BT314" s="163"/>
      <c r="BU314" s="163"/>
      <c r="BV314" s="163"/>
      <c r="BW314" s="163"/>
      <c r="BX314" s="163"/>
      <c r="BY314" s="163"/>
      <c r="BZ314" s="163"/>
      <c r="CA314" s="163"/>
      <c r="CB314" s="163"/>
      <c r="CC314" s="163"/>
      <c r="CD314" s="163"/>
      <c r="CE314" s="163"/>
      <c r="CF314" s="163"/>
      <c r="CG314" s="163"/>
      <c r="CH314" s="162"/>
      <c r="CI314" s="162"/>
      <c r="CJ314" s="162"/>
      <c r="CK314" s="162"/>
      <c r="CL314" s="162"/>
      <c r="CM314" s="162"/>
    </row>
    <row r="315" spans="1:91">
      <c r="C315" s="164"/>
    </row>
  </sheetData>
  <mergeCells count="25">
    <mergeCell ref="Q18:Q19"/>
    <mergeCell ref="R18:R19"/>
    <mergeCell ref="C14:H15"/>
    <mergeCell ref="C9:H9"/>
    <mergeCell ref="I9:M9"/>
    <mergeCell ref="N9:R9"/>
    <mergeCell ref="C12:H13"/>
    <mergeCell ref="I12:M13"/>
    <mergeCell ref="N12:R13"/>
    <mergeCell ref="F7:W7"/>
    <mergeCell ref="C18:H19"/>
    <mergeCell ref="I18:M19"/>
    <mergeCell ref="N20:N21"/>
    <mergeCell ref="O20:O21"/>
    <mergeCell ref="P20:P21"/>
    <mergeCell ref="Q20:Q21"/>
    <mergeCell ref="R20:R21"/>
    <mergeCell ref="N18:N19"/>
    <mergeCell ref="O18:O19"/>
    <mergeCell ref="I14:M15"/>
    <mergeCell ref="N14:R15"/>
    <mergeCell ref="C16:H17"/>
    <mergeCell ref="I16:M17"/>
    <mergeCell ref="N16:R17"/>
    <mergeCell ref="P18:P19"/>
  </mergeCells>
  <conditionalFormatting sqref="B10:B306">
    <cfRule type="cellIs" dxfId="2" priority="3" stopIfTrue="1" operator="equal">
      <formula>$A$7</formula>
    </cfRule>
  </conditionalFormatting>
  <conditionalFormatting sqref="B10">
    <cfRule type="cellIs" dxfId="1" priority="2" stopIfTrue="1" operator="equal">
      <formula>$A$7</formula>
    </cfRule>
  </conditionalFormatting>
  <conditionalFormatting sqref="C10:CM306">
    <cfRule type="expression" dxfId="0" priority="1" stopIfTrue="1">
      <formula>ISNUMBER(SEARCH("this row",$A10))=TRUE</formula>
    </cfRule>
  </conditionalFormatting>
  <pageMargins left="0.75" right="0.75" top="1" bottom="1" header="0.5" footer="0.5"/>
  <pageSetup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return_calc">
                <anchor moveWithCells="1" sizeWithCells="1">
                  <from>
                    <xdr:col>20</xdr:col>
                    <xdr:colOff>152400</xdr:colOff>
                    <xdr:row>0</xdr:row>
                    <xdr:rowOff>133350</xdr:rowOff>
                  </from>
                  <to>
                    <xdr:col>40</xdr:col>
                    <xdr:colOff>123825</xdr:colOff>
                    <xdr:row>2</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E6AE2-46C9-4BEE-951D-0E279171808B}">
  <dimension ref="A1:K56"/>
  <sheetViews>
    <sheetView topLeftCell="A43" workbookViewId="0">
      <selection activeCell="B16" sqref="B16"/>
    </sheetView>
  </sheetViews>
  <sheetFormatPr defaultRowHeight="15"/>
  <cols>
    <col min="4" max="4" width="9.140625" customWidth="1"/>
    <col min="6" max="6" width="9.140625" customWidth="1"/>
    <col min="8" max="8" width="9.140625" customWidth="1"/>
    <col min="10" max="10" width="9.140625" customWidth="1"/>
  </cols>
  <sheetData>
    <row r="1" spans="1:10">
      <c r="A1" t="s">
        <v>153</v>
      </c>
    </row>
    <row r="2" spans="1:10">
      <c r="A2" t="s">
        <v>2</v>
      </c>
      <c r="C2" t="s">
        <v>154</v>
      </c>
      <c r="E2" t="s">
        <v>155</v>
      </c>
      <c r="G2" t="s">
        <v>156</v>
      </c>
      <c r="I2" t="s">
        <v>157</v>
      </c>
    </row>
    <row r="3" spans="1:10">
      <c r="A3" s="2" t="s">
        <v>15</v>
      </c>
      <c r="B3" s="1" t="str">
        <f>IF('PRODUCT 1'!B45&gt;0,'PRODUCT 1'!B45,"")</f>
        <v/>
      </c>
      <c r="C3" s="7" t="str">
        <f t="shared" ref="C3:C15" si="0">IF(ISNUMBER(B3),TRUNC(D3,0),"")</f>
        <v/>
      </c>
      <c r="D3" s="3" t="str">
        <f t="shared" ref="D3:D50" si="1">IF(ISNUMBER(B3),B3/4,"")</f>
        <v/>
      </c>
      <c r="E3" s="3" t="str">
        <f t="shared" ref="E3:E14" si="2">IF(ISNUMBER($B3),TRUNC(F3,0),"")</f>
        <v/>
      </c>
      <c r="F3" s="3" t="str">
        <f>IF(ISNUMBER(B3),((D3-TRUNC(D3,0))*4)/3,"")</f>
        <v/>
      </c>
      <c r="G3" s="3" t="str">
        <f>IF(ISNUMBER($B3),TRUNC(H3,0),"")</f>
        <v/>
      </c>
      <c r="H3" s="3" t="str">
        <f>IF(ISNUMBER(B3),((F3-TRUNC(F3,0))*3)/2,"")</f>
        <v/>
      </c>
      <c r="I3" s="3" t="str">
        <f>IF(ISNUMBER($B3),TRUNC(J3,0),"")</f>
        <v/>
      </c>
      <c r="J3" s="3" t="str">
        <f>IF(ISNUMBER($B3),((H3-TRUNC(H3,0))*2),"")</f>
        <v/>
      </c>
    </row>
    <row r="4" spans="1:10">
      <c r="A4" s="2" t="s">
        <v>16</v>
      </c>
      <c r="B4" s="1" t="str">
        <f>IF('PRODUCT 1'!B46&gt;0,'PRODUCT 1'!B46,"")</f>
        <v/>
      </c>
      <c r="C4" s="7" t="str">
        <f t="shared" si="0"/>
        <v/>
      </c>
      <c r="D4" s="3" t="str">
        <f t="shared" si="1"/>
        <v/>
      </c>
      <c r="E4" s="3" t="str">
        <f t="shared" si="2"/>
        <v/>
      </c>
      <c r="F4" s="3" t="str">
        <f t="shared" ref="F4:F47" si="3">IF(ISNUMBER(B4),((D4-TRUNC(D4,0))*4)/3,"")</f>
        <v/>
      </c>
      <c r="G4" s="3" t="str">
        <f t="shared" ref="G4:G15" si="4">IF(ISNUMBER($B4),TRUNC(H4,0),"")</f>
        <v/>
      </c>
      <c r="H4" s="3" t="str">
        <f t="shared" ref="H4:H47" si="5">IF(ISNUMBER(B4),((F4-TRUNC(F4,0))*3)/2,"")</f>
        <v/>
      </c>
      <c r="I4" s="3" t="str">
        <f t="shared" ref="I4:I15" si="6">IF(ISNUMBER($B4),TRUNC(J4,0),"")</f>
        <v/>
      </c>
      <c r="J4" s="3" t="str">
        <f t="shared" ref="J4:J47" si="7">IF(ISNUMBER($B4),((H4-TRUNC(H4,0))*2),"")</f>
        <v/>
      </c>
    </row>
    <row r="5" spans="1:10">
      <c r="A5" s="2" t="s">
        <v>17</v>
      </c>
      <c r="B5" s="1" t="str">
        <f>IF('PRODUCT 1'!B47&gt;0,'PRODUCT 1'!B47,"")</f>
        <v/>
      </c>
      <c r="C5" s="7" t="str">
        <f t="shared" si="0"/>
        <v/>
      </c>
      <c r="D5" s="3" t="str">
        <f t="shared" si="1"/>
        <v/>
      </c>
      <c r="E5" s="3" t="str">
        <f t="shared" si="2"/>
        <v/>
      </c>
      <c r="F5" s="3" t="str">
        <f t="shared" si="3"/>
        <v/>
      </c>
      <c r="G5" s="3" t="str">
        <f t="shared" si="4"/>
        <v/>
      </c>
      <c r="H5" s="3" t="str">
        <f t="shared" si="5"/>
        <v/>
      </c>
      <c r="I5" s="3" t="str">
        <f t="shared" si="6"/>
        <v/>
      </c>
      <c r="J5" s="3" t="str">
        <f t="shared" si="7"/>
        <v/>
      </c>
    </row>
    <row r="6" spans="1:10">
      <c r="A6" s="2" t="s">
        <v>18</v>
      </c>
      <c r="B6" s="1" t="str">
        <f>IF('PRODUCT 1'!B48&gt;0,'PRODUCT 1'!B48,"")</f>
        <v/>
      </c>
      <c r="C6" s="7" t="str">
        <f t="shared" si="0"/>
        <v/>
      </c>
      <c r="D6" s="3" t="str">
        <f t="shared" si="1"/>
        <v/>
      </c>
      <c r="E6" s="3" t="str">
        <f t="shared" si="2"/>
        <v/>
      </c>
      <c r="F6" s="3" t="str">
        <f t="shared" si="3"/>
        <v/>
      </c>
      <c r="G6" s="3" t="str">
        <f t="shared" si="4"/>
        <v/>
      </c>
      <c r="H6" s="3" t="str">
        <f t="shared" si="5"/>
        <v/>
      </c>
      <c r="I6" s="3" t="str">
        <f t="shared" si="6"/>
        <v/>
      </c>
      <c r="J6" s="3" t="str">
        <f t="shared" si="7"/>
        <v/>
      </c>
    </row>
    <row r="7" spans="1:10">
      <c r="A7" s="2" t="s">
        <v>19</v>
      </c>
      <c r="B7" s="1" t="str">
        <f>IF('PRODUCT 1'!B49&gt;0,'PRODUCT 1'!B49,"")</f>
        <v/>
      </c>
      <c r="C7" s="7" t="str">
        <f t="shared" si="0"/>
        <v/>
      </c>
      <c r="D7" s="3" t="str">
        <f>IF(ISNUMBER(B7),B7/4,"")</f>
        <v/>
      </c>
      <c r="E7" s="3" t="str">
        <f t="shared" si="2"/>
        <v/>
      </c>
      <c r="F7" s="3" t="str">
        <f t="shared" si="3"/>
        <v/>
      </c>
      <c r="G7" s="3" t="str">
        <f t="shared" si="4"/>
        <v/>
      </c>
      <c r="H7" s="3" t="str">
        <f t="shared" si="5"/>
        <v/>
      </c>
      <c r="I7" s="3" t="str">
        <f t="shared" si="6"/>
        <v/>
      </c>
      <c r="J7" s="3" t="str">
        <f t="shared" si="7"/>
        <v/>
      </c>
    </row>
    <row r="8" spans="1:10">
      <c r="A8" s="2" t="s">
        <v>20</v>
      </c>
      <c r="B8" s="1" t="str">
        <f>IF('PRODUCT 1'!B50&gt;0,'PRODUCT 1'!B50,"")</f>
        <v/>
      </c>
      <c r="C8" s="7" t="str">
        <f t="shared" si="0"/>
        <v/>
      </c>
      <c r="D8" s="3" t="str">
        <f t="shared" si="1"/>
        <v/>
      </c>
      <c r="E8" s="3" t="str">
        <f t="shared" si="2"/>
        <v/>
      </c>
      <c r="F8" s="3" t="str">
        <f t="shared" si="3"/>
        <v/>
      </c>
      <c r="G8" s="3" t="str">
        <f t="shared" si="4"/>
        <v/>
      </c>
      <c r="H8" s="3" t="str">
        <f t="shared" si="5"/>
        <v/>
      </c>
      <c r="I8" s="3" t="str">
        <f t="shared" si="6"/>
        <v/>
      </c>
      <c r="J8" s="3" t="str">
        <f t="shared" si="7"/>
        <v/>
      </c>
    </row>
    <row r="9" spans="1:10">
      <c r="A9" s="2" t="s">
        <v>21</v>
      </c>
      <c r="B9" s="1" t="str">
        <f>IF('PRODUCT 1'!B51&gt;0,'PRODUCT 1'!B51,"")</f>
        <v/>
      </c>
      <c r="C9" s="7" t="str">
        <f t="shared" si="0"/>
        <v/>
      </c>
      <c r="D9" s="3" t="str">
        <f t="shared" si="1"/>
        <v/>
      </c>
      <c r="E9" s="3" t="str">
        <f t="shared" si="2"/>
        <v/>
      </c>
      <c r="F9" s="3" t="str">
        <f t="shared" si="3"/>
        <v/>
      </c>
      <c r="G9" s="3" t="str">
        <f t="shared" si="4"/>
        <v/>
      </c>
      <c r="H9" s="3" t="str">
        <f t="shared" si="5"/>
        <v/>
      </c>
      <c r="I9" s="3" t="str">
        <f t="shared" si="6"/>
        <v/>
      </c>
      <c r="J9" s="3" t="str">
        <f t="shared" si="7"/>
        <v/>
      </c>
    </row>
    <row r="10" spans="1:10">
      <c r="A10" s="2" t="s">
        <v>22</v>
      </c>
      <c r="B10" s="1" t="str">
        <f>IF('PRODUCT 1'!B52&gt;0,'PRODUCT 1'!B52,"")</f>
        <v/>
      </c>
      <c r="C10" s="7" t="str">
        <f t="shared" si="0"/>
        <v/>
      </c>
      <c r="D10" s="3" t="str">
        <f t="shared" si="1"/>
        <v/>
      </c>
      <c r="E10" s="3" t="str">
        <f t="shared" si="2"/>
        <v/>
      </c>
      <c r="F10" s="3" t="str">
        <f t="shared" si="3"/>
        <v/>
      </c>
      <c r="G10" s="3" t="str">
        <f t="shared" si="4"/>
        <v/>
      </c>
      <c r="H10" s="3" t="str">
        <f t="shared" si="5"/>
        <v/>
      </c>
      <c r="I10" s="3" t="str">
        <f t="shared" si="6"/>
        <v/>
      </c>
      <c r="J10" s="3" t="str">
        <f t="shared" si="7"/>
        <v/>
      </c>
    </row>
    <row r="11" spans="1:10">
      <c r="A11" s="2" t="s">
        <v>23</v>
      </c>
      <c r="B11" s="1" t="str">
        <f>IF('PRODUCT 1'!B53&gt;0,'PRODUCT 1'!B53,"")</f>
        <v/>
      </c>
      <c r="C11" s="7" t="str">
        <f t="shared" si="0"/>
        <v/>
      </c>
      <c r="D11" s="3" t="str">
        <f t="shared" si="1"/>
        <v/>
      </c>
      <c r="E11" s="3" t="str">
        <f t="shared" si="2"/>
        <v/>
      </c>
      <c r="F11" s="3" t="str">
        <f t="shared" si="3"/>
        <v/>
      </c>
      <c r="G11" s="3" t="str">
        <f t="shared" si="4"/>
        <v/>
      </c>
      <c r="H11" s="3" t="str">
        <f t="shared" si="5"/>
        <v/>
      </c>
      <c r="I11" s="3" t="str">
        <f t="shared" si="6"/>
        <v/>
      </c>
      <c r="J11" s="3" t="str">
        <f t="shared" si="7"/>
        <v/>
      </c>
    </row>
    <row r="12" spans="1:10" ht="30">
      <c r="A12" s="2" t="s">
        <v>24</v>
      </c>
      <c r="B12" s="1" t="str">
        <f>IF('PRODUCT 1'!B54&gt;0,'PRODUCT 1'!B54,"")</f>
        <v/>
      </c>
      <c r="C12" s="7" t="str">
        <f t="shared" si="0"/>
        <v/>
      </c>
      <c r="D12" s="3" t="str">
        <f t="shared" si="1"/>
        <v/>
      </c>
      <c r="E12" s="3" t="str">
        <f t="shared" si="2"/>
        <v/>
      </c>
      <c r="F12" s="3" t="str">
        <f t="shared" si="3"/>
        <v/>
      </c>
      <c r="G12" s="3" t="str">
        <f t="shared" si="4"/>
        <v/>
      </c>
      <c r="H12" s="3" t="str">
        <f t="shared" si="5"/>
        <v/>
      </c>
      <c r="I12" s="3" t="str">
        <f t="shared" si="6"/>
        <v/>
      </c>
      <c r="J12" s="3" t="str">
        <f t="shared" si="7"/>
        <v/>
      </c>
    </row>
    <row r="13" spans="1:10" ht="30">
      <c r="A13" s="2" t="s">
        <v>25</v>
      </c>
      <c r="B13" s="1" t="str">
        <f>IF('PRODUCT 1'!B55&gt;0,'PRODUCT 1'!B55,"")</f>
        <v/>
      </c>
      <c r="C13" s="7" t="str">
        <f t="shared" si="0"/>
        <v/>
      </c>
      <c r="D13" s="3" t="str">
        <f t="shared" si="1"/>
        <v/>
      </c>
      <c r="E13" s="3" t="str">
        <f t="shared" si="2"/>
        <v/>
      </c>
      <c r="F13" s="3" t="str">
        <f t="shared" si="3"/>
        <v/>
      </c>
      <c r="G13" s="3" t="str">
        <f t="shared" si="4"/>
        <v/>
      </c>
      <c r="H13" s="3" t="str">
        <f t="shared" si="5"/>
        <v/>
      </c>
      <c r="I13" s="3" t="str">
        <f t="shared" si="6"/>
        <v/>
      </c>
      <c r="J13" s="3" t="str">
        <f t="shared" si="7"/>
        <v/>
      </c>
    </row>
    <row r="14" spans="1:10" ht="30">
      <c r="A14" s="2" t="s">
        <v>26</v>
      </c>
      <c r="B14" s="1" t="str">
        <f>IF('PRODUCT 1'!B56&gt;0,'PRODUCT 1'!B56,"")</f>
        <v/>
      </c>
      <c r="C14" s="7" t="str">
        <f t="shared" si="0"/>
        <v/>
      </c>
      <c r="D14" s="3" t="str">
        <f t="shared" si="1"/>
        <v/>
      </c>
      <c r="E14" s="3" t="str">
        <f t="shared" si="2"/>
        <v/>
      </c>
      <c r="F14" s="3" t="str">
        <f t="shared" si="3"/>
        <v/>
      </c>
      <c r="G14" s="3" t="str">
        <f t="shared" si="4"/>
        <v/>
      </c>
      <c r="H14" s="3" t="str">
        <f t="shared" si="5"/>
        <v/>
      </c>
      <c r="I14" s="3" t="str">
        <f t="shared" si="6"/>
        <v/>
      </c>
      <c r="J14" s="3" t="str">
        <f t="shared" si="7"/>
        <v/>
      </c>
    </row>
    <row r="15" spans="1:10" ht="30">
      <c r="A15" s="2" t="s">
        <v>27</v>
      </c>
      <c r="B15" s="1" t="str">
        <f>IF('PRODUCT 1'!B57&gt;0,'PRODUCT 1'!B57,"")</f>
        <v/>
      </c>
      <c r="C15" s="7" t="str">
        <f t="shared" si="0"/>
        <v/>
      </c>
      <c r="D15" s="3" t="str">
        <f t="shared" si="1"/>
        <v/>
      </c>
      <c r="E15" s="3" t="str">
        <f t="shared" ref="E15" si="8">IF(ISNUMBER($B15),TRUNC(F15,0),"")</f>
        <v/>
      </c>
      <c r="F15" s="3" t="str">
        <f t="shared" si="3"/>
        <v/>
      </c>
      <c r="G15" s="3" t="str">
        <f t="shared" si="4"/>
        <v/>
      </c>
      <c r="H15" s="3" t="str">
        <f t="shared" si="5"/>
        <v/>
      </c>
      <c r="I15" s="3" t="str">
        <f t="shared" si="6"/>
        <v/>
      </c>
      <c r="J15" s="3" t="str">
        <f t="shared" si="7"/>
        <v/>
      </c>
    </row>
    <row r="16" spans="1:10">
      <c r="A16" t="s">
        <v>158</v>
      </c>
      <c r="B16">
        <f>IF(SUM(B3:B15)=0,B2,SUM(B3:B15))</f>
        <v>0</v>
      </c>
      <c r="C16" s="5">
        <f>SUM(C3:C15)</f>
        <v>0</v>
      </c>
      <c r="E16" s="5">
        <f t="shared" ref="E16:I16" si="9">SUM(E3:E15)</f>
        <v>0</v>
      </c>
      <c r="F16" s="4"/>
      <c r="G16" s="5">
        <f t="shared" si="9"/>
        <v>0</v>
      </c>
      <c r="H16" s="4"/>
      <c r="I16" s="5">
        <f t="shared" si="9"/>
        <v>0</v>
      </c>
      <c r="J16" s="3"/>
    </row>
    <row r="17" spans="1:11">
      <c r="F17" s="4"/>
      <c r="H17" s="4"/>
      <c r="J17" s="3" t="str">
        <f t="shared" si="7"/>
        <v/>
      </c>
    </row>
    <row r="18" spans="1:11">
      <c r="A18" t="s">
        <v>6</v>
      </c>
      <c r="C18" t="s">
        <v>154</v>
      </c>
      <c r="E18" t="s">
        <v>155</v>
      </c>
      <c r="F18" s="4"/>
      <c r="G18" t="s">
        <v>156</v>
      </c>
      <c r="H18" s="4"/>
      <c r="I18" t="s">
        <v>157</v>
      </c>
      <c r="J18" s="3" t="str">
        <f t="shared" si="7"/>
        <v/>
      </c>
    </row>
    <row r="19" spans="1:11">
      <c r="A19" s="2" t="s">
        <v>15</v>
      </c>
      <c r="B19" s="1" t="str">
        <f>IF('PRODUCT 2'!B45&gt;0,'PRODUCT 2'!B45,"")</f>
        <v/>
      </c>
      <c r="C19" s="7" t="str">
        <f>IF(ISNUMBER(B19),TRUNC(D19,0),"")</f>
        <v/>
      </c>
      <c r="D19" s="3" t="str">
        <f t="shared" si="1"/>
        <v/>
      </c>
      <c r="E19" s="3" t="str">
        <f t="shared" ref="E19:E31" si="10">IF(ISNUMBER($B19),TRUNC(F19,0),"")</f>
        <v/>
      </c>
      <c r="F19" s="3" t="str">
        <f t="shared" si="3"/>
        <v/>
      </c>
      <c r="G19" s="3" t="str">
        <f>IF(ISNUMBER($B19),TRUNC(H19,0),"")</f>
        <v/>
      </c>
      <c r="H19" s="3" t="str">
        <f t="shared" si="5"/>
        <v/>
      </c>
      <c r="I19" s="3" t="str">
        <f>IF(ISNUMBER($B19),TRUNC(J19,0),"")</f>
        <v/>
      </c>
      <c r="J19" s="3" t="str">
        <f t="shared" si="7"/>
        <v/>
      </c>
      <c r="K19" s="3"/>
    </row>
    <row r="20" spans="1:11">
      <c r="A20" s="2" t="s">
        <v>16</v>
      </c>
      <c r="B20" s="1" t="str">
        <f>IF('PRODUCT 2'!B46&gt;0,'PRODUCT 2'!B46,"")</f>
        <v/>
      </c>
      <c r="C20" s="7" t="str">
        <f t="shared" ref="C20:C31" si="11">IF(ISNUMBER(B20),TRUNC(D20,0),"")</f>
        <v/>
      </c>
      <c r="D20" s="3" t="str">
        <f t="shared" si="1"/>
        <v/>
      </c>
      <c r="E20" s="3" t="str">
        <f t="shared" si="10"/>
        <v/>
      </c>
      <c r="F20" s="3" t="str">
        <f t="shared" si="3"/>
        <v/>
      </c>
      <c r="G20" s="3" t="str">
        <f t="shared" ref="G20:G31" si="12">IF(ISNUMBER($B20),TRUNC(H20,0),"")</f>
        <v/>
      </c>
      <c r="H20" s="3" t="str">
        <f t="shared" si="5"/>
        <v/>
      </c>
      <c r="I20" s="3" t="str">
        <f t="shared" ref="I20:I31" si="13">IF(ISNUMBER($B20),TRUNC(J20,0),"")</f>
        <v/>
      </c>
      <c r="J20" s="3" t="str">
        <f t="shared" si="7"/>
        <v/>
      </c>
      <c r="K20" s="3"/>
    </row>
    <row r="21" spans="1:11">
      <c r="A21" s="2" t="s">
        <v>17</v>
      </c>
      <c r="B21" s="1" t="str">
        <f>IF('PRODUCT 2'!B47&gt;0,'PRODUCT 2'!B47,"")</f>
        <v/>
      </c>
      <c r="C21" s="7" t="str">
        <f t="shared" si="11"/>
        <v/>
      </c>
      <c r="D21" s="3" t="str">
        <f t="shared" si="1"/>
        <v/>
      </c>
      <c r="E21" s="3" t="str">
        <f t="shared" si="10"/>
        <v/>
      </c>
      <c r="F21" s="3" t="str">
        <f t="shared" si="3"/>
        <v/>
      </c>
      <c r="G21" s="3" t="str">
        <f t="shared" si="12"/>
        <v/>
      </c>
      <c r="H21" s="3" t="str">
        <f t="shared" si="5"/>
        <v/>
      </c>
      <c r="I21" s="3" t="str">
        <f t="shared" si="13"/>
        <v/>
      </c>
      <c r="J21" s="3" t="str">
        <f t="shared" si="7"/>
        <v/>
      </c>
      <c r="K21" s="3"/>
    </row>
    <row r="22" spans="1:11">
      <c r="A22" s="2" t="s">
        <v>18</v>
      </c>
      <c r="B22" s="1" t="str">
        <f>IF('PRODUCT 2'!B48&gt;0,'PRODUCT 2'!B48,"")</f>
        <v/>
      </c>
      <c r="C22" s="7" t="str">
        <f t="shared" si="11"/>
        <v/>
      </c>
      <c r="D22" s="3" t="str">
        <f t="shared" si="1"/>
        <v/>
      </c>
      <c r="E22" s="3" t="str">
        <f t="shared" si="10"/>
        <v/>
      </c>
      <c r="F22" s="3" t="str">
        <f t="shared" si="3"/>
        <v/>
      </c>
      <c r="G22" s="3" t="str">
        <f t="shared" si="12"/>
        <v/>
      </c>
      <c r="H22" s="3" t="str">
        <f t="shared" si="5"/>
        <v/>
      </c>
      <c r="I22" s="3" t="str">
        <f t="shared" si="13"/>
        <v/>
      </c>
      <c r="J22" s="3" t="str">
        <f t="shared" si="7"/>
        <v/>
      </c>
      <c r="K22" s="3"/>
    </row>
    <row r="23" spans="1:11">
      <c r="A23" s="2" t="s">
        <v>19</v>
      </c>
      <c r="B23" s="1" t="str">
        <f>IF('PRODUCT 2'!B49&gt;0,'PRODUCT 2'!B49,"")</f>
        <v/>
      </c>
      <c r="C23" s="7" t="str">
        <f t="shared" si="11"/>
        <v/>
      </c>
      <c r="D23" s="3" t="str">
        <f t="shared" si="1"/>
        <v/>
      </c>
      <c r="E23" s="3" t="str">
        <f t="shared" si="10"/>
        <v/>
      </c>
      <c r="F23" s="3" t="str">
        <f t="shared" si="3"/>
        <v/>
      </c>
      <c r="G23" s="3" t="str">
        <f t="shared" si="12"/>
        <v/>
      </c>
      <c r="H23" s="3" t="str">
        <f t="shared" si="5"/>
        <v/>
      </c>
      <c r="I23" s="3" t="str">
        <f t="shared" si="13"/>
        <v/>
      </c>
      <c r="J23" s="3" t="str">
        <f t="shared" si="7"/>
        <v/>
      </c>
      <c r="K23" s="3"/>
    </row>
    <row r="24" spans="1:11">
      <c r="A24" s="2" t="s">
        <v>20</v>
      </c>
      <c r="B24" s="1" t="str">
        <f>IF('PRODUCT 2'!B50&gt;0,'PRODUCT 2'!B50,"")</f>
        <v/>
      </c>
      <c r="C24" s="7" t="str">
        <f t="shared" si="11"/>
        <v/>
      </c>
      <c r="D24" s="3" t="str">
        <f t="shared" si="1"/>
        <v/>
      </c>
      <c r="E24" s="3" t="str">
        <f t="shared" si="10"/>
        <v/>
      </c>
      <c r="F24" s="3" t="str">
        <f t="shared" si="3"/>
        <v/>
      </c>
      <c r="G24" s="3" t="str">
        <f t="shared" si="12"/>
        <v/>
      </c>
      <c r="H24" s="3" t="str">
        <f t="shared" si="5"/>
        <v/>
      </c>
      <c r="I24" s="3" t="str">
        <f t="shared" si="13"/>
        <v/>
      </c>
      <c r="J24" s="3" t="str">
        <f t="shared" si="7"/>
        <v/>
      </c>
      <c r="K24" s="3"/>
    </row>
    <row r="25" spans="1:11">
      <c r="A25" s="2" t="s">
        <v>21</v>
      </c>
      <c r="B25" s="1" t="str">
        <f>IF('PRODUCT 2'!B51&gt;0,'PRODUCT 2'!B51,"")</f>
        <v/>
      </c>
      <c r="C25" s="7" t="str">
        <f t="shared" si="11"/>
        <v/>
      </c>
      <c r="D25" s="3" t="str">
        <f t="shared" si="1"/>
        <v/>
      </c>
      <c r="E25" s="3" t="str">
        <f t="shared" si="10"/>
        <v/>
      </c>
      <c r="F25" s="3" t="str">
        <f t="shared" si="3"/>
        <v/>
      </c>
      <c r="G25" s="3" t="str">
        <f t="shared" si="12"/>
        <v/>
      </c>
      <c r="H25" s="3" t="str">
        <f t="shared" si="5"/>
        <v/>
      </c>
      <c r="I25" s="3" t="str">
        <f t="shared" si="13"/>
        <v/>
      </c>
      <c r="J25" s="3" t="str">
        <f t="shared" si="7"/>
        <v/>
      </c>
    </row>
    <row r="26" spans="1:11">
      <c r="A26" s="2" t="s">
        <v>22</v>
      </c>
      <c r="B26" s="1" t="str">
        <f>IF('PRODUCT 2'!B52&gt;0,'PRODUCT 2'!B52,"")</f>
        <v/>
      </c>
      <c r="C26" s="7" t="str">
        <f t="shared" si="11"/>
        <v/>
      </c>
      <c r="D26" s="3" t="str">
        <f t="shared" si="1"/>
        <v/>
      </c>
      <c r="E26" s="3" t="str">
        <f t="shared" si="10"/>
        <v/>
      </c>
      <c r="F26" s="3" t="str">
        <f t="shared" si="3"/>
        <v/>
      </c>
      <c r="G26" s="3" t="str">
        <f t="shared" si="12"/>
        <v/>
      </c>
      <c r="H26" s="3" t="str">
        <f t="shared" si="5"/>
        <v/>
      </c>
      <c r="I26" s="3" t="str">
        <f t="shared" si="13"/>
        <v/>
      </c>
      <c r="J26" s="3" t="str">
        <f t="shared" si="7"/>
        <v/>
      </c>
    </row>
    <row r="27" spans="1:11">
      <c r="A27" s="2" t="s">
        <v>23</v>
      </c>
      <c r="B27" s="1" t="str">
        <f>IF('PRODUCT 2'!B53&gt;0,'PRODUCT 2'!B53,"")</f>
        <v/>
      </c>
      <c r="C27" s="7" t="str">
        <f t="shared" si="11"/>
        <v/>
      </c>
      <c r="D27" s="3" t="str">
        <f t="shared" si="1"/>
        <v/>
      </c>
      <c r="E27" s="3" t="str">
        <f t="shared" si="10"/>
        <v/>
      </c>
      <c r="F27" s="3" t="str">
        <f t="shared" si="3"/>
        <v/>
      </c>
      <c r="G27" s="3" t="str">
        <f t="shared" si="12"/>
        <v/>
      </c>
      <c r="H27" s="3" t="str">
        <f t="shared" si="5"/>
        <v/>
      </c>
      <c r="I27" s="3" t="str">
        <f t="shared" si="13"/>
        <v/>
      </c>
      <c r="J27" s="3" t="str">
        <f t="shared" si="7"/>
        <v/>
      </c>
    </row>
    <row r="28" spans="1:11" ht="30">
      <c r="A28" s="2" t="s">
        <v>24</v>
      </c>
      <c r="B28" s="1" t="str">
        <f>IF('PRODUCT 2'!B54&gt;0,'PRODUCT 2'!B54,"")</f>
        <v/>
      </c>
      <c r="C28" s="7" t="str">
        <f t="shared" si="11"/>
        <v/>
      </c>
      <c r="D28" s="3" t="str">
        <f t="shared" si="1"/>
        <v/>
      </c>
      <c r="E28" s="3" t="str">
        <f t="shared" si="10"/>
        <v/>
      </c>
      <c r="F28" s="3" t="str">
        <f t="shared" si="3"/>
        <v/>
      </c>
      <c r="G28" s="3" t="str">
        <f t="shared" si="12"/>
        <v/>
      </c>
      <c r="H28" s="3" t="str">
        <f t="shared" si="5"/>
        <v/>
      </c>
      <c r="I28" s="3" t="str">
        <f t="shared" si="13"/>
        <v/>
      </c>
      <c r="J28" s="3" t="str">
        <f t="shared" si="7"/>
        <v/>
      </c>
    </row>
    <row r="29" spans="1:11" ht="30">
      <c r="A29" s="2" t="s">
        <v>25</v>
      </c>
      <c r="B29" s="1" t="str">
        <f>IF('PRODUCT 2'!B55&gt;0,'PRODUCT 2'!B55,"")</f>
        <v/>
      </c>
      <c r="C29" s="7" t="str">
        <f t="shared" si="11"/>
        <v/>
      </c>
      <c r="D29" s="3" t="str">
        <f t="shared" si="1"/>
        <v/>
      </c>
      <c r="E29" s="3" t="str">
        <f t="shared" si="10"/>
        <v/>
      </c>
      <c r="F29" s="3" t="str">
        <f t="shared" si="3"/>
        <v/>
      </c>
      <c r="G29" s="3" t="str">
        <f t="shared" si="12"/>
        <v/>
      </c>
      <c r="H29" s="3" t="str">
        <f t="shared" si="5"/>
        <v/>
      </c>
      <c r="I29" s="3" t="str">
        <f t="shared" si="13"/>
        <v/>
      </c>
      <c r="J29" s="3" t="str">
        <f t="shared" si="7"/>
        <v/>
      </c>
    </row>
    <row r="30" spans="1:11" ht="30">
      <c r="A30" s="2" t="s">
        <v>26</v>
      </c>
      <c r="B30" s="1" t="str">
        <f>IF('PRODUCT 2'!B56&gt;0,'PRODUCT 2'!B56,"")</f>
        <v/>
      </c>
      <c r="C30" s="7" t="str">
        <f t="shared" si="11"/>
        <v/>
      </c>
      <c r="D30" s="3" t="str">
        <f t="shared" si="1"/>
        <v/>
      </c>
      <c r="E30" s="3" t="str">
        <f t="shared" si="10"/>
        <v/>
      </c>
      <c r="F30" s="3" t="str">
        <f t="shared" si="3"/>
        <v/>
      </c>
      <c r="G30" s="3" t="str">
        <f t="shared" si="12"/>
        <v/>
      </c>
      <c r="H30" s="3" t="str">
        <f t="shared" si="5"/>
        <v/>
      </c>
      <c r="I30" s="3" t="str">
        <f t="shared" si="13"/>
        <v/>
      </c>
      <c r="J30" s="3" t="str">
        <f t="shared" si="7"/>
        <v/>
      </c>
    </row>
    <row r="31" spans="1:11" ht="30">
      <c r="A31" s="2" t="s">
        <v>27</v>
      </c>
      <c r="B31" s="1" t="str">
        <f>IF('PRODUCT 2'!B57&gt;0,'PRODUCT 2'!B57,"")</f>
        <v/>
      </c>
      <c r="C31" s="7" t="str">
        <f t="shared" si="11"/>
        <v/>
      </c>
      <c r="D31" s="3" t="str">
        <f t="shared" si="1"/>
        <v/>
      </c>
      <c r="E31" s="3" t="str">
        <f t="shared" si="10"/>
        <v/>
      </c>
      <c r="F31" s="3" t="str">
        <f t="shared" si="3"/>
        <v/>
      </c>
      <c r="G31" s="3" t="str">
        <f t="shared" si="12"/>
        <v/>
      </c>
      <c r="H31" s="3" t="str">
        <f t="shared" si="5"/>
        <v/>
      </c>
      <c r="I31" s="3" t="str">
        <f t="shared" si="13"/>
        <v/>
      </c>
      <c r="J31" s="3" t="str">
        <f t="shared" si="7"/>
        <v/>
      </c>
    </row>
    <row r="32" spans="1:11">
      <c r="A32" t="s">
        <v>158</v>
      </c>
      <c r="B32">
        <f>SUM(B19:B31)</f>
        <v>0</v>
      </c>
      <c r="C32" s="5">
        <f>SUM(C19:C31)</f>
        <v>0</v>
      </c>
      <c r="E32" s="5">
        <f t="shared" ref="E32" si="14">SUM(E19:E31)</f>
        <v>0</v>
      </c>
      <c r="F32" s="4"/>
      <c r="G32" s="5">
        <f t="shared" ref="G32" si="15">SUM(G19:G31)</f>
        <v>0</v>
      </c>
      <c r="H32" s="4"/>
      <c r="I32" s="5">
        <f t="shared" ref="I32" si="16">SUM(I19:I31)</f>
        <v>0</v>
      </c>
      <c r="J32" s="3"/>
    </row>
    <row r="33" spans="1:10">
      <c r="F33" s="4"/>
      <c r="H33" s="4"/>
      <c r="J33" s="3" t="str">
        <f t="shared" si="7"/>
        <v/>
      </c>
    </row>
    <row r="34" spans="1:10">
      <c r="A34" t="s">
        <v>7</v>
      </c>
      <c r="C34" t="s">
        <v>154</v>
      </c>
      <c r="E34" t="s">
        <v>155</v>
      </c>
      <c r="F34" s="4"/>
      <c r="G34" t="s">
        <v>156</v>
      </c>
      <c r="H34" s="4"/>
      <c r="I34" t="s">
        <v>157</v>
      </c>
      <c r="J34" s="3" t="str">
        <f t="shared" si="7"/>
        <v/>
      </c>
    </row>
    <row r="35" spans="1:10">
      <c r="A35" s="2" t="s">
        <v>15</v>
      </c>
      <c r="B35" s="1" t="str">
        <f>IF('PRODUCT 3'!B45&gt;0,'PRODUCT 3'!B45,"")</f>
        <v/>
      </c>
      <c r="C35" s="7" t="str">
        <f t="shared" ref="C35:C47" si="17">IF(ISNUMBER(B35),TRUNC(D35,0),"")</f>
        <v/>
      </c>
      <c r="D35" s="3" t="str">
        <f t="shared" si="1"/>
        <v/>
      </c>
      <c r="E35" s="3" t="str">
        <f>IF(ISNUMBER(B35),TRUNC(F35,0),"")</f>
        <v/>
      </c>
      <c r="F35" s="3" t="str">
        <f t="shared" si="3"/>
        <v/>
      </c>
      <c r="G35" s="3" t="str">
        <f>IF(ISNUMBER(B35),TRUNC(H35,0),"")</f>
        <v/>
      </c>
      <c r="H35" s="3" t="str">
        <f t="shared" si="5"/>
        <v/>
      </c>
      <c r="I35" s="3" t="str">
        <f>IF(ISNUMBER(B35),TRUNC(J35,0),"")</f>
        <v/>
      </c>
      <c r="J35" s="3" t="str">
        <f t="shared" si="7"/>
        <v/>
      </c>
    </row>
    <row r="36" spans="1:10">
      <c r="A36" s="2" t="s">
        <v>16</v>
      </c>
      <c r="B36" s="1" t="str">
        <f>IF('PRODUCT 3'!B46&gt;0,'PRODUCT 3'!B46,"")</f>
        <v/>
      </c>
      <c r="C36" s="7" t="str">
        <f t="shared" si="17"/>
        <v/>
      </c>
      <c r="D36" s="3" t="str">
        <f t="shared" si="1"/>
        <v/>
      </c>
      <c r="E36" s="3" t="str">
        <f t="shared" ref="E36:E47" si="18">IF(ISNUMBER(B36),TRUNC(F36,0),"")</f>
        <v/>
      </c>
      <c r="F36" s="3" t="str">
        <f t="shared" si="3"/>
        <v/>
      </c>
      <c r="G36" s="3" t="str">
        <f t="shared" ref="G36:G47" si="19">IF(ISNUMBER(B36),TRUNC(H36,0),"")</f>
        <v/>
      </c>
      <c r="H36" s="3" t="str">
        <f t="shared" si="5"/>
        <v/>
      </c>
      <c r="I36" s="3" t="str">
        <f t="shared" ref="I36:I47" si="20">IF(ISNUMBER(B36),TRUNC(J36,0),"")</f>
        <v/>
      </c>
      <c r="J36" s="3" t="str">
        <f t="shared" si="7"/>
        <v/>
      </c>
    </row>
    <row r="37" spans="1:10">
      <c r="A37" s="2" t="s">
        <v>17</v>
      </c>
      <c r="B37" s="1" t="str">
        <f>IF('PRODUCT 3'!B47&gt;0,'PRODUCT 3'!B47,"")</f>
        <v/>
      </c>
      <c r="C37" s="7" t="str">
        <f t="shared" si="17"/>
        <v/>
      </c>
      <c r="D37" s="3" t="str">
        <f t="shared" si="1"/>
        <v/>
      </c>
      <c r="E37" s="3" t="str">
        <f t="shared" si="18"/>
        <v/>
      </c>
      <c r="F37" s="3" t="str">
        <f t="shared" si="3"/>
        <v/>
      </c>
      <c r="G37" s="3" t="str">
        <f t="shared" si="19"/>
        <v/>
      </c>
      <c r="H37" s="3" t="str">
        <f t="shared" si="5"/>
        <v/>
      </c>
      <c r="I37" s="3" t="str">
        <f t="shared" si="20"/>
        <v/>
      </c>
      <c r="J37" s="3" t="str">
        <f t="shared" si="7"/>
        <v/>
      </c>
    </row>
    <row r="38" spans="1:10">
      <c r="A38" s="2" t="s">
        <v>18</v>
      </c>
      <c r="B38" s="1" t="str">
        <f>IF('PRODUCT 3'!B48&gt;0,'PRODUCT 3'!B48,"")</f>
        <v/>
      </c>
      <c r="C38" s="7" t="str">
        <f t="shared" si="17"/>
        <v/>
      </c>
      <c r="D38" s="3" t="str">
        <f t="shared" si="1"/>
        <v/>
      </c>
      <c r="E38" s="3" t="str">
        <f t="shared" si="18"/>
        <v/>
      </c>
      <c r="F38" s="3" t="str">
        <f t="shared" si="3"/>
        <v/>
      </c>
      <c r="G38" s="3" t="str">
        <f t="shared" si="19"/>
        <v/>
      </c>
      <c r="H38" s="3" t="str">
        <f t="shared" si="5"/>
        <v/>
      </c>
      <c r="I38" s="3" t="str">
        <f t="shared" si="20"/>
        <v/>
      </c>
      <c r="J38" s="3" t="str">
        <f t="shared" si="7"/>
        <v/>
      </c>
    </row>
    <row r="39" spans="1:10">
      <c r="A39" s="2" t="s">
        <v>19</v>
      </c>
      <c r="B39" s="1" t="str">
        <f>IF('PRODUCT 3'!B49&gt;0,'PRODUCT 3'!B49,"")</f>
        <v/>
      </c>
      <c r="C39" s="7" t="str">
        <f t="shared" si="17"/>
        <v/>
      </c>
      <c r="D39" s="3" t="str">
        <f t="shared" si="1"/>
        <v/>
      </c>
      <c r="E39" s="3" t="str">
        <f t="shared" si="18"/>
        <v/>
      </c>
      <c r="F39" s="3" t="str">
        <f t="shared" si="3"/>
        <v/>
      </c>
      <c r="G39" s="3" t="str">
        <f t="shared" si="19"/>
        <v/>
      </c>
      <c r="H39" s="3" t="str">
        <f t="shared" si="5"/>
        <v/>
      </c>
      <c r="I39" s="3" t="str">
        <f t="shared" si="20"/>
        <v/>
      </c>
      <c r="J39" s="3" t="str">
        <f t="shared" si="7"/>
        <v/>
      </c>
    </row>
    <row r="40" spans="1:10">
      <c r="A40" s="2" t="s">
        <v>20</v>
      </c>
      <c r="B40" s="1" t="str">
        <f>IF('PRODUCT 3'!B50&gt;0,'PRODUCT 3'!B50,"")</f>
        <v/>
      </c>
      <c r="C40" s="7" t="str">
        <f t="shared" si="17"/>
        <v/>
      </c>
      <c r="D40" s="3" t="str">
        <f t="shared" si="1"/>
        <v/>
      </c>
      <c r="E40" s="3" t="str">
        <f t="shared" si="18"/>
        <v/>
      </c>
      <c r="F40" s="3" t="str">
        <f t="shared" si="3"/>
        <v/>
      </c>
      <c r="G40" s="3" t="str">
        <f t="shared" si="19"/>
        <v/>
      </c>
      <c r="H40" s="3" t="str">
        <f t="shared" si="5"/>
        <v/>
      </c>
      <c r="I40" s="3" t="str">
        <f t="shared" si="20"/>
        <v/>
      </c>
      <c r="J40" s="3" t="str">
        <f t="shared" si="7"/>
        <v/>
      </c>
    </row>
    <row r="41" spans="1:10">
      <c r="A41" s="2" t="s">
        <v>21</v>
      </c>
      <c r="B41" s="1" t="str">
        <f>IF('PRODUCT 3'!B51&gt;0,'PRODUCT 3'!B51,"")</f>
        <v/>
      </c>
      <c r="C41" s="7" t="str">
        <f t="shared" si="17"/>
        <v/>
      </c>
      <c r="D41" s="3" t="str">
        <f t="shared" si="1"/>
        <v/>
      </c>
      <c r="E41" s="3" t="str">
        <f t="shared" si="18"/>
        <v/>
      </c>
      <c r="F41" s="3" t="str">
        <f t="shared" si="3"/>
        <v/>
      </c>
      <c r="G41" s="3" t="str">
        <f t="shared" si="19"/>
        <v/>
      </c>
      <c r="H41" s="3" t="str">
        <f t="shared" si="5"/>
        <v/>
      </c>
      <c r="I41" s="3" t="str">
        <f t="shared" si="20"/>
        <v/>
      </c>
      <c r="J41" s="3" t="str">
        <f t="shared" si="7"/>
        <v/>
      </c>
    </row>
    <row r="42" spans="1:10">
      <c r="A42" s="2" t="s">
        <v>22</v>
      </c>
      <c r="B42" s="1" t="str">
        <f>IF('PRODUCT 3'!B52&gt;0,'PRODUCT 3'!B52,"")</f>
        <v/>
      </c>
      <c r="C42" s="7" t="str">
        <f t="shared" si="17"/>
        <v/>
      </c>
      <c r="D42" s="3" t="str">
        <f t="shared" si="1"/>
        <v/>
      </c>
      <c r="E42" s="3" t="str">
        <f t="shared" si="18"/>
        <v/>
      </c>
      <c r="F42" s="3" t="str">
        <f t="shared" si="3"/>
        <v/>
      </c>
      <c r="G42" s="3" t="str">
        <f t="shared" si="19"/>
        <v/>
      </c>
      <c r="H42" s="3" t="str">
        <f t="shared" si="5"/>
        <v/>
      </c>
      <c r="I42" s="3" t="str">
        <f t="shared" si="20"/>
        <v/>
      </c>
      <c r="J42" s="3" t="str">
        <f t="shared" si="7"/>
        <v/>
      </c>
    </row>
    <row r="43" spans="1:10">
      <c r="A43" s="2" t="s">
        <v>23</v>
      </c>
      <c r="B43" s="1" t="str">
        <f>IF('PRODUCT 3'!B53&gt;0,'PRODUCT 3'!B53,"")</f>
        <v/>
      </c>
      <c r="C43" s="7" t="str">
        <f t="shared" si="17"/>
        <v/>
      </c>
      <c r="D43" s="3" t="str">
        <f t="shared" si="1"/>
        <v/>
      </c>
      <c r="E43" s="3" t="str">
        <f t="shared" si="18"/>
        <v/>
      </c>
      <c r="F43" s="3" t="str">
        <f t="shared" si="3"/>
        <v/>
      </c>
      <c r="G43" s="3" t="str">
        <f t="shared" si="19"/>
        <v/>
      </c>
      <c r="H43" s="3" t="str">
        <f t="shared" si="5"/>
        <v/>
      </c>
      <c r="I43" s="3" t="str">
        <f t="shared" si="20"/>
        <v/>
      </c>
      <c r="J43" s="3" t="str">
        <f t="shared" si="7"/>
        <v/>
      </c>
    </row>
    <row r="44" spans="1:10" ht="30">
      <c r="A44" s="2" t="s">
        <v>24</v>
      </c>
      <c r="B44" s="1" t="str">
        <f>IF('PRODUCT 3'!B54&gt;0,'PRODUCT 3'!B54,"")</f>
        <v/>
      </c>
      <c r="C44" s="7" t="str">
        <f t="shared" si="17"/>
        <v/>
      </c>
      <c r="D44" s="3" t="str">
        <f t="shared" si="1"/>
        <v/>
      </c>
      <c r="E44" s="3" t="str">
        <f t="shared" si="18"/>
        <v/>
      </c>
      <c r="F44" s="3" t="str">
        <f t="shared" si="3"/>
        <v/>
      </c>
      <c r="G44" s="3" t="str">
        <f t="shared" si="19"/>
        <v/>
      </c>
      <c r="H44" s="3" t="str">
        <f t="shared" si="5"/>
        <v/>
      </c>
      <c r="I44" s="3" t="str">
        <f t="shared" si="20"/>
        <v/>
      </c>
      <c r="J44" s="3" t="str">
        <f t="shared" si="7"/>
        <v/>
      </c>
    </row>
    <row r="45" spans="1:10" ht="30">
      <c r="A45" s="2" t="s">
        <v>25</v>
      </c>
      <c r="B45" s="1" t="str">
        <f>IF('PRODUCT 3'!B55&gt;0,'PRODUCT 3'!B55,"")</f>
        <v/>
      </c>
      <c r="C45" s="7" t="str">
        <f t="shared" si="17"/>
        <v/>
      </c>
      <c r="D45" s="3" t="str">
        <f t="shared" si="1"/>
        <v/>
      </c>
      <c r="E45" s="3" t="str">
        <f t="shared" si="18"/>
        <v/>
      </c>
      <c r="F45" s="3" t="str">
        <f t="shared" si="3"/>
        <v/>
      </c>
      <c r="G45" s="3" t="str">
        <f t="shared" si="19"/>
        <v/>
      </c>
      <c r="H45" s="3" t="str">
        <f t="shared" si="5"/>
        <v/>
      </c>
      <c r="I45" s="3" t="str">
        <f>IF(ISNUMBER(B45),TRUNC(J45,0),"")</f>
        <v/>
      </c>
      <c r="J45" s="3" t="str">
        <f t="shared" si="7"/>
        <v/>
      </c>
    </row>
    <row r="46" spans="1:10" ht="30">
      <c r="A46" s="2" t="s">
        <v>26</v>
      </c>
      <c r="B46" s="1" t="str">
        <f>IF('PRODUCT 3'!B56&gt;0,'PRODUCT 3'!B56,"")</f>
        <v/>
      </c>
      <c r="C46" s="7" t="str">
        <f t="shared" si="17"/>
        <v/>
      </c>
      <c r="D46" s="3" t="str">
        <f t="shared" si="1"/>
        <v/>
      </c>
      <c r="E46" s="3" t="str">
        <f t="shared" si="18"/>
        <v/>
      </c>
      <c r="F46" s="3" t="str">
        <f t="shared" si="3"/>
        <v/>
      </c>
      <c r="G46" s="3" t="str">
        <f t="shared" si="19"/>
        <v/>
      </c>
      <c r="H46" s="3" t="str">
        <f t="shared" si="5"/>
        <v/>
      </c>
      <c r="I46" s="3" t="str">
        <f t="shared" si="20"/>
        <v/>
      </c>
      <c r="J46" s="3" t="str">
        <f t="shared" si="7"/>
        <v/>
      </c>
    </row>
    <row r="47" spans="1:10" ht="30">
      <c r="A47" s="2" t="s">
        <v>27</v>
      </c>
      <c r="B47" s="1" t="str">
        <f>IF('PRODUCT 3'!B57&gt;0,'PRODUCT 3'!B57,"")</f>
        <v/>
      </c>
      <c r="C47" s="7" t="str">
        <f t="shared" si="17"/>
        <v/>
      </c>
      <c r="D47" s="3" t="str">
        <f t="shared" si="1"/>
        <v/>
      </c>
      <c r="E47" s="3" t="str">
        <f t="shared" si="18"/>
        <v/>
      </c>
      <c r="F47" s="3" t="str">
        <f t="shared" si="3"/>
        <v/>
      </c>
      <c r="G47" s="3" t="str">
        <f t="shared" si="19"/>
        <v/>
      </c>
      <c r="H47" s="3" t="str">
        <f t="shared" si="5"/>
        <v/>
      </c>
      <c r="I47" s="3" t="str">
        <f t="shared" si="20"/>
        <v/>
      </c>
      <c r="J47" s="3" t="str">
        <f t="shared" si="7"/>
        <v/>
      </c>
    </row>
    <row r="48" spans="1:10">
      <c r="A48" t="s">
        <v>158</v>
      </c>
      <c r="B48">
        <f>SUM(B35:B47)</f>
        <v>0</v>
      </c>
      <c r="C48" s="5">
        <f>SUM(C35:C47)</f>
        <v>0</v>
      </c>
      <c r="E48" s="5">
        <f t="shared" ref="E48" si="21">SUM(E35:E47)</f>
        <v>0</v>
      </c>
      <c r="F48" s="4"/>
      <c r="G48" s="5">
        <f t="shared" ref="G48" si="22">SUM(G35:G47)</f>
        <v>0</v>
      </c>
      <c r="H48" s="4"/>
      <c r="I48" s="5">
        <f t="shared" ref="I48" si="23">SUM(I35:I47)</f>
        <v>0</v>
      </c>
    </row>
    <row r="49" spans="1:9">
      <c r="D49" t="str">
        <f t="shared" si="1"/>
        <v/>
      </c>
      <c r="F49" s="4"/>
      <c r="H49" s="4"/>
    </row>
    <row r="50" spans="1:9">
      <c r="C50" t="s">
        <v>172</v>
      </c>
      <c r="D50" t="str">
        <f t="shared" si="1"/>
        <v/>
      </c>
      <c r="E50" t="s">
        <v>173</v>
      </c>
      <c r="F50" s="4"/>
      <c r="G50" t="s">
        <v>174</v>
      </c>
      <c r="H50" s="4"/>
      <c r="I50" t="s">
        <v>175</v>
      </c>
    </row>
    <row r="51" spans="1:9">
      <c r="B51" s="6" t="s">
        <v>159</v>
      </c>
      <c r="C51">
        <f>SUM(C48,C32,C16)</f>
        <v>0</v>
      </c>
      <c r="E51">
        <f t="shared" ref="E51:I51" si="24">SUM(E48,E32,E16)</f>
        <v>0</v>
      </c>
      <c r="F51" s="4"/>
      <c r="G51">
        <f t="shared" si="24"/>
        <v>0</v>
      </c>
      <c r="H51" s="4"/>
      <c r="I51">
        <f t="shared" si="24"/>
        <v>0</v>
      </c>
    </row>
    <row r="52" spans="1:9">
      <c r="B52" s="6">
        <f>SUM(B48,B32,B16)</f>
        <v>0</v>
      </c>
    </row>
    <row r="53" spans="1:9">
      <c r="B53" s="6" t="s">
        <v>166</v>
      </c>
      <c r="C53" t="s">
        <v>167</v>
      </c>
      <c r="E53" t="s">
        <v>168</v>
      </c>
      <c r="G53" t="s">
        <v>169</v>
      </c>
    </row>
    <row r="54" spans="1:9">
      <c r="A54" t="s">
        <v>165</v>
      </c>
      <c r="B54" s="6">
        <f>IF('PRODUCT 1'!F28=AdministrationPage!$F$3,COUNT(B3:B15),IF('PRODUCT 1'!F28=AdministrationPage!$F$2,COUNT(B3:B15)*2,0))</f>
        <v>0</v>
      </c>
      <c r="C54" s="6">
        <f>IF('PRODUCT 2'!F28=AdministrationPage!$F$3,COUNT(B19:B31),IF('PRODUCT 2'!F28=AdministrationPage!$F$2,COUNT(B19:B31)*2,0))</f>
        <v>0</v>
      </c>
      <c r="D54" s="6"/>
      <c r="E54" s="6">
        <f>IF('PRODUCT 3'!F28=AdministrationPage!$F$3,COUNT(B35:B47),IF('PRODUCT 3'!F28=AdministrationPage!$F$2,COUNT(B35:B47)*2,0))</f>
        <v>0</v>
      </c>
      <c r="G54">
        <f>SUM(B54:E54)</f>
        <v>0</v>
      </c>
    </row>
    <row r="55" spans="1:9">
      <c r="A55" t="s">
        <v>170</v>
      </c>
      <c r="B55" s="6">
        <f>B16</f>
        <v>0</v>
      </c>
      <c r="C55" s="6">
        <f>B32</f>
        <v>0</v>
      </c>
      <c r="D55" s="6"/>
      <c r="E55" s="6">
        <f>B48</f>
        <v>0</v>
      </c>
      <c r="G55">
        <f>SUM(B55:E55)</f>
        <v>0</v>
      </c>
    </row>
    <row r="56" spans="1:9">
      <c r="A56" t="s">
        <v>171</v>
      </c>
      <c r="B56">
        <f>COUNT(B3:B15)</f>
        <v>0</v>
      </c>
      <c r="C56">
        <f>COUNT(B19:B31)</f>
        <v>0</v>
      </c>
      <c r="E56">
        <f>COUNT(B35:B47)</f>
        <v>0</v>
      </c>
      <c r="G56">
        <f>SUM(B56:E56)</f>
        <v>0</v>
      </c>
    </row>
  </sheetData>
  <pageMargins left="0.7" right="0.7" top="0.75" bottom="0.75" header="0.3" footer="0.3"/>
  <ignoredErrors>
    <ignoredError sqref="F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814DB-2903-41CC-B0ED-F576DC75D8FF}">
  <dimension ref="A1:X83"/>
  <sheetViews>
    <sheetView zoomScale="70" zoomScaleNormal="70" workbookViewId="0">
      <selection activeCell="B16" sqref="B16"/>
    </sheetView>
  </sheetViews>
  <sheetFormatPr defaultRowHeight="15"/>
  <cols>
    <col min="1" max="1" width="12.28515625" bestFit="1" customWidth="1"/>
    <col min="2" max="2" width="11.5703125" bestFit="1" customWidth="1"/>
    <col min="3" max="3" width="17.7109375" bestFit="1" customWidth="1"/>
    <col min="4" max="4" width="10" bestFit="1" customWidth="1"/>
    <col min="10" max="11" width="18.7109375" bestFit="1" customWidth="1"/>
    <col min="15" max="15" width="14.7109375" bestFit="1" customWidth="1"/>
    <col min="16" max="16" width="19.28515625" bestFit="1" customWidth="1"/>
    <col min="19" max="19" width="10.140625" customWidth="1"/>
    <col min="20" max="20" width="20" customWidth="1"/>
  </cols>
  <sheetData>
    <row r="1" spans="1:24">
      <c r="A1" t="s">
        <v>34</v>
      </c>
      <c r="B1" t="s">
        <v>35</v>
      </c>
      <c r="C1" t="s">
        <v>36</v>
      </c>
      <c r="D1" t="s">
        <v>37</v>
      </c>
      <c r="E1" t="s">
        <v>40</v>
      </c>
      <c r="F1" t="s">
        <v>41</v>
      </c>
      <c r="G1" t="s">
        <v>48</v>
      </c>
      <c r="H1" t="s">
        <v>81</v>
      </c>
      <c r="J1" t="s">
        <v>86</v>
      </c>
      <c r="K1" t="s">
        <v>91</v>
      </c>
      <c r="L1" t="s">
        <v>92</v>
      </c>
      <c r="M1" t="s">
        <v>93</v>
      </c>
      <c r="N1" t="s">
        <v>94</v>
      </c>
      <c r="O1" t="s">
        <v>96</v>
      </c>
      <c r="P1" t="s">
        <v>87</v>
      </c>
      <c r="Q1" t="s">
        <v>88</v>
      </c>
      <c r="R1" t="s">
        <v>99</v>
      </c>
      <c r="S1" t="s">
        <v>95</v>
      </c>
      <c r="T1" t="s">
        <v>3463</v>
      </c>
      <c r="U1" t="s">
        <v>89</v>
      </c>
      <c r="V1" t="s">
        <v>90</v>
      </c>
      <c r="W1" t="s">
        <v>3448</v>
      </c>
      <c r="X1" t="s">
        <v>3650</v>
      </c>
    </row>
    <row r="2" spans="1:24">
      <c r="A2" t="s">
        <v>98</v>
      </c>
      <c r="B2" t="s">
        <v>63</v>
      </c>
      <c r="C2" t="s">
        <v>38</v>
      </c>
      <c r="D2" t="s">
        <v>63</v>
      </c>
      <c r="E2" t="s">
        <v>38</v>
      </c>
      <c r="F2" t="s">
        <v>115</v>
      </c>
      <c r="G2" t="s">
        <v>42</v>
      </c>
      <c r="H2" t="s">
        <v>86</v>
      </c>
      <c r="J2" t="s">
        <v>38</v>
      </c>
      <c r="K2" t="s">
        <v>38</v>
      </c>
      <c r="L2" t="s">
        <v>38</v>
      </c>
      <c r="M2" t="s">
        <v>44</v>
      </c>
      <c r="N2" t="s">
        <v>39</v>
      </c>
      <c r="O2" t="s">
        <v>65</v>
      </c>
      <c r="P2" t="s">
        <v>63</v>
      </c>
      <c r="Q2" t="s">
        <v>63</v>
      </c>
      <c r="R2" t="s">
        <v>63</v>
      </c>
      <c r="S2" t="s">
        <v>63</v>
      </c>
      <c r="T2" t="s">
        <v>63</v>
      </c>
      <c r="U2" t="s">
        <v>44</v>
      </c>
      <c r="V2" t="s">
        <v>39</v>
      </c>
      <c r="W2" t="s">
        <v>151</v>
      </c>
      <c r="X2" t="s">
        <v>3648</v>
      </c>
    </row>
    <row r="3" spans="1:24">
      <c r="A3" t="s">
        <v>92</v>
      </c>
      <c r="B3" t="s">
        <v>64</v>
      </c>
      <c r="C3">
        <v>90</v>
      </c>
      <c r="D3" t="s">
        <v>65</v>
      </c>
      <c r="E3">
        <v>90</v>
      </c>
      <c r="F3" t="s">
        <v>114</v>
      </c>
      <c r="G3" t="s">
        <v>43</v>
      </c>
      <c r="H3" t="s">
        <v>101</v>
      </c>
      <c r="J3">
        <v>90</v>
      </c>
      <c r="K3">
        <v>90</v>
      </c>
      <c r="L3">
        <v>90</v>
      </c>
      <c r="O3" t="s">
        <v>67</v>
      </c>
      <c r="P3" t="s">
        <v>65</v>
      </c>
      <c r="Q3" t="s">
        <v>64</v>
      </c>
      <c r="R3" t="s">
        <v>64</v>
      </c>
      <c r="W3" t="s">
        <v>3159</v>
      </c>
      <c r="X3" t="s">
        <v>3651</v>
      </c>
    </row>
    <row r="4" spans="1:24">
      <c r="A4" t="s">
        <v>91</v>
      </c>
      <c r="B4" t="s">
        <v>65</v>
      </c>
      <c r="C4" t="s">
        <v>44</v>
      </c>
      <c r="D4" t="s">
        <v>67</v>
      </c>
      <c r="F4" t="s">
        <v>116</v>
      </c>
      <c r="O4" t="s">
        <v>66</v>
      </c>
      <c r="P4" t="s">
        <v>67</v>
      </c>
      <c r="Q4" t="s">
        <v>65</v>
      </c>
      <c r="R4" t="s">
        <v>65</v>
      </c>
      <c r="X4" t="s">
        <v>3652</v>
      </c>
    </row>
    <row r="5" spans="1:24">
      <c r="A5" t="s">
        <v>97</v>
      </c>
      <c r="B5" t="s">
        <v>67</v>
      </c>
      <c r="D5" t="s">
        <v>66</v>
      </c>
      <c r="O5" t="s">
        <v>68</v>
      </c>
      <c r="P5" t="s">
        <v>68</v>
      </c>
    </row>
    <row r="6" spans="1:24">
      <c r="A6" t="s">
        <v>93</v>
      </c>
      <c r="B6" t="s">
        <v>66</v>
      </c>
      <c r="D6" t="s">
        <v>68</v>
      </c>
      <c r="O6" t="s">
        <v>71</v>
      </c>
      <c r="P6" t="s">
        <v>71</v>
      </c>
    </row>
    <row r="7" spans="1:24">
      <c r="B7" t="s">
        <v>68</v>
      </c>
      <c r="D7" t="s">
        <v>69</v>
      </c>
    </row>
    <row r="8" spans="1:24">
      <c r="B8" t="s">
        <v>69</v>
      </c>
      <c r="D8" t="s">
        <v>103</v>
      </c>
    </row>
    <row r="9" spans="1:24">
      <c r="B9" t="s">
        <v>39</v>
      </c>
    </row>
    <row r="10" spans="1:24">
      <c r="B10" t="s">
        <v>44</v>
      </c>
    </row>
    <row r="13" spans="1:24">
      <c r="I13" t="s">
        <v>135</v>
      </c>
    </row>
    <row r="14" spans="1:24">
      <c r="A14" t="s">
        <v>130</v>
      </c>
      <c r="I14" t="s">
        <v>80</v>
      </c>
      <c r="J14" t="s">
        <v>80</v>
      </c>
    </row>
    <row r="15" spans="1:24">
      <c r="A15" t="s">
        <v>85</v>
      </c>
      <c r="B15" t="s">
        <v>50</v>
      </c>
      <c r="C15" t="s">
        <v>51</v>
      </c>
      <c r="D15" t="s">
        <v>52</v>
      </c>
      <c r="E15" t="s">
        <v>84</v>
      </c>
      <c r="I15" t="s">
        <v>85</v>
      </c>
      <c r="J15" t="s">
        <v>50</v>
      </c>
      <c r="K15" t="s">
        <v>51</v>
      </c>
      <c r="L15" t="s">
        <v>52</v>
      </c>
      <c r="M15" t="s">
        <v>53</v>
      </c>
    </row>
    <row r="16" spans="1:24">
      <c r="A16" t="b">
        <f>AND($C$16='PRODUCT 1'!$D$21,$D$16='PRODUCT 1'!$C$21,$E$16='PRODUCT 1'!$A$21)</f>
        <v>0</v>
      </c>
      <c r="B16" t="s">
        <v>57</v>
      </c>
      <c r="C16" t="s">
        <v>71</v>
      </c>
      <c r="D16" t="s">
        <v>38</v>
      </c>
      <c r="E16" t="s">
        <v>98</v>
      </c>
      <c r="I16" t="b">
        <f>AND(K16='PRODUCT 1'!$D$28,L16='PRODUCT 1'!$C$28,M16='PRODUCT 1'!$A$28)</f>
        <v>0</v>
      </c>
      <c r="J16" t="s">
        <v>49</v>
      </c>
      <c r="K16" t="s">
        <v>63</v>
      </c>
      <c r="L16" t="s">
        <v>38</v>
      </c>
      <c r="M16" t="s">
        <v>98</v>
      </c>
    </row>
    <row r="17" spans="1:13">
      <c r="A17" t="b">
        <f>AND(C17='PRODUCT 1'!$D$21,D17='PRODUCT 1'!$C$21,E17='PRODUCT 1'!$A$21)</f>
        <v>0</v>
      </c>
      <c r="B17" t="s">
        <v>70</v>
      </c>
      <c r="C17" t="s">
        <v>71</v>
      </c>
      <c r="D17">
        <v>90</v>
      </c>
      <c r="E17" t="s">
        <v>98</v>
      </c>
      <c r="I17" t="b">
        <f>AND(K17='PRODUCT 1'!$D$28,L17='PRODUCT 1'!$C$28,M17='PRODUCT 1'!$A$28)</f>
        <v>0</v>
      </c>
      <c r="J17" t="s">
        <v>54</v>
      </c>
      <c r="K17" t="s">
        <v>65</v>
      </c>
      <c r="L17" t="s">
        <v>38</v>
      </c>
      <c r="M17" t="s">
        <v>98</v>
      </c>
    </row>
    <row r="18" spans="1:13">
      <c r="A18" t="b">
        <f>AND(C18='PRODUCT 1'!$D$21,D18='PRODUCT 1'!$C$21,E18='PRODUCT 1'!$A$21)</f>
        <v>0</v>
      </c>
      <c r="B18" t="s">
        <v>55</v>
      </c>
      <c r="C18" t="s">
        <v>67</v>
      </c>
      <c r="D18" t="s">
        <v>38</v>
      </c>
      <c r="E18" t="s">
        <v>98</v>
      </c>
      <c r="I18" t="b">
        <f>AND(K18='PRODUCT 1'!$D$28,L18='PRODUCT 1'!$C$28,M18='PRODUCT 1'!$A$28)</f>
        <v>0</v>
      </c>
      <c r="J18" t="s">
        <v>55</v>
      </c>
      <c r="K18" t="s">
        <v>67</v>
      </c>
      <c r="L18" t="s">
        <v>38</v>
      </c>
      <c r="M18" t="s">
        <v>98</v>
      </c>
    </row>
    <row r="19" spans="1:13">
      <c r="A19" t="b">
        <f>AND(C19='PRODUCT 1'!$D$21,D19='PRODUCT 1'!$C$21,E19='PRODUCT 1'!$A$21)</f>
        <v>0</v>
      </c>
      <c r="B19" t="s">
        <v>59</v>
      </c>
      <c r="C19" t="s">
        <v>67</v>
      </c>
      <c r="D19">
        <v>90</v>
      </c>
      <c r="E19" t="s">
        <v>98</v>
      </c>
      <c r="I19" t="b">
        <f>AND(K19='PRODUCT 1'!$D$28,L19='PRODUCT 1'!$C$28,M19='PRODUCT 1'!$A$28)</f>
        <v>0</v>
      </c>
      <c r="J19" t="s">
        <v>56</v>
      </c>
      <c r="K19" t="s">
        <v>68</v>
      </c>
      <c r="L19" t="s">
        <v>38</v>
      </c>
      <c r="M19" t="s">
        <v>98</v>
      </c>
    </row>
    <row r="20" spans="1:13">
      <c r="A20" t="b">
        <f>AND(C20='PRODUCT 1'!$D$21,D20='PRODUCT 1'!$C$21,E20='PRODUCT 1'!$A$21)</f>
        <v>0</v>
      </c>
      <c r="B20" t="s">
        <v>49</v>
      </c>
      <c r="C20" t="s">
        <v>63</v>
      </c>
      <c r="D20" t="s">
        <v>38</v>
      </c>
      <c r="E20" t="s">
        <v>98</v>
      </c>
      <c r="I20" t="b">
        <f>AND(K20='PRODUCT 1'!$D$28,L20='PRODUCT 1'!$C$28,M20='PRODUCT 1'!$A$28)</f>
        <v>0</v>
      </c>
      <c r="J20" t="s">
        <v>57</v>
      </c>
      <c r="K20" t="s">
        <v>71</v>
      </c>
      <c r="L20" t="s">
        <v>38</v>
      </c>
      <c r="M20" t="s">
        <v>98</v>
      </c>
    </row>
    <row r="21" spans="1:13">
      <c r="A21" t="b">
        <f>AND(C21='PRODUCT 1'!$D$21,D21='PRODUCT 1'!$C$21,E21='PRODUCT 1'!$A$21)</f>
        <v>0</v>
      </c>
      <c r="B21" t="s">
        <v>74</v>
      </c>
      <c r="C21" t="s">
        <v>63</v>
      </c>
      <c r="D21" t="s">
        <v>38</v>
      </c>
      <c r="E21" t="s">
        <v>92</v>
      </c>
      <c r="I21" t="b">
        <f>AND(K21='PRODUCT 1'!$D$28,L21='PRODUCT 1'!$C$28,M21='PRODUCT 1'!$A$28)</f>
        <v>0</v>
      </c>
      <c r="J21" t="s">
        <v>74</v>
      </c>
      <c r="K21" t="s">
        <v>63</v>
      </c>
      <c r="L21" t="s">
        <v>38</v>
      </c>
      <c r="M21" t="s">
        <v>92</v>
      </c>
    </row>
    <row r="22" spans="1:13">
      <c r="A22" t="b">
        <f>AND(C22='PRODUCT 1'!$D$21,D22='PRODUCT 1'!$C$21,E22='PRODUCT 1'!$A$21)</f>
        <v>0</v>
      </c>
      <c r="B22" t="s">
        <v>62</v>
      </c>
      <c r="C22" t="s">
        <v>63</v>
      </c>
      <c r="D22">
        <v>90</v>
      </c>
      <c r="E22" t="s">
        <v>92</v>
      </c>
      <c r="I22" t="b">
        <f>AND(K22='PRODUCT 1'!$D$28,L22='PRODUCT 1'!$C$28,M22='PRODUCT 1'!$A$28)</f>
        <v>0</v>
      </c>
      <c r="J22" t="s">
        <v>75</v>
      </c>
      <c r="K22" t="s">
        <v>64</v>
      </c>
      <c r="L22" t="s">
        <v>38</v>
      </c>
      <c r="M22" t="s">
        <v>92</v>
      </c>
    </row>
    <row r="23" spans="1:13">
      <c r="A23" t="b">
        <f>AND(C23='PRODUCT 1'!$D$21,D23='PRODUCT 1'!$C$21,E23='PRODUCT 1'!$A$21)</f>
        <v>0</v>
      </c>
      <c r="B23" t="s">
        <v>77</v>
      </c>
      <c r="C23" t="s">
        <v>63</v>
      </c>
      <c r="D23">
        <v>90</v>
      </c>
      <c r="E23" t="s">
        <v>91</v>
      </c>
      <c r="I23" t="b">
        <f>AND(K23='PRODUCT 1'!$D$28,L23='PRODUCT 1'!$C$28,M23='PRODUCT 1'!$A$28)</f>
        <v>0</v>
      </c>
      <c r="J23" t="s">
        <v>76</v>
      </c>
      <c r="K23" t="s">
        <v>65</v>
      </c>
      <c r="L23" t="s">
        <v>38</v>
      </c>
      <c r="M23" t="s">
        <v>92</v>
      </c>
    </row>
    <row r="24" spans="1:13">
      <c r="A24" t="b">
        <f>AND(C24='PRODUCT 1'!$D$21,D24='PRODUCT 1'!$C$21,E24='PRODUCT 1'!$A$21)</f>
        <v>0</v>
      </c>
      <c r="B24" t="s">
        <v>78</v>
      </c>
      <c r="C24" t="s">
        <v>63</v>
      </c>
      <c r="D24" t="s">
        <v>38</v>
      </c>
      <c r="E24" t="s">
        <v>91</v>
      </c>
      <c r="I24" t="b">
        <f>AND(K24='PRODUCT 1'!$D$28,L24='PRODUCT 1'!$C$28,M24='PRODUCT 1'!$A$28)</f>
        <v>0</v>
      </c>
      <c r="J24" t="s">
        <v>78</v>
      </c>
      <c r="K24" t="s">
        <v>63</v>
      </c>
      <c r="L24" t="s">
        <v>38</v>
      </c>
      <c r="M24" t="s">
        <v>91</v>
      </c>
    </row>
    <row r="25" spans="1:13">
      <c r="A25" t="b">
        <f>AND(C25='PRODUCT 1'!$D$21,D25='PRODUCT 1'!$C$21,E25='PRODUCT 1'!$A$21)</f>
        <v>0</v>
      </c>
      <c r="B25" t="s">
        <v>56</v>
      </c>
      <c r="C25" t="s">
        <v>68</v>
      </c>
      <c r="D25" t="s">
        <v>38</v>
      </c>
      <c r="E25" t="s">
        <v>98</v>
      </c>
      <c r="I25" t="b">
        <f>AND(K25='PRODUCT 1'!$A$28)</f>
        <v>0</v>
      </c>
      <c r="J25" t="s">
        <v>79</v>
      </c>
      <c r="K25" t="s">
        <v>97</v>
      </c>
      <c r="L25" t="s">
        <v>38</v>
      </c>
      <c r="M25" t="s">
        <v>97</v>
      </c>
    </row>
    <row r="26" spans="1:13">
      <c r="A26" t="b">
        <f>AND(C26='PRODUCT 1'!$D$21,D26='PRODUCT 1'!$C$21,E26='PRODUCT 1'!$A$21)</f>
        <v>0</v>
      </c>
      <c r="B26" t="s">
        <v>61</v>
      </c>
      <c r="C26" t="s">
        <v>68</v>
      </c>
      <c r="D26">
        <v>90</v>
      </c>
      <c r="E26" t="s">
        <v>98</v>
      </c>
      <c r="I26" t="b">
        <f>AND(K26='PRODUCT 1'!$D$28,L26='PRODUCT 1'!$C$28,M26='PRODUCT 1'!$A$28)</f>
        <v>0</v>
      </c>
      <c r="J26" t="s">
        <v>58</v>
      </c>
      <c r="K26" t="s">
        <v>65</v>
      </c>
      <c r="L26">
        <v>90</v>
      </c>
      <c r="M26" t="s">
        <v>98</v>
      </c>
    </row>
    <row r="27" spans="1:13">
      <c r="A27" t="b">
        <f>AND(C27='PRODUCT 1'!$D$21,D27='PRODUCT 1'!$C$21,E27='PRODUCT 1'!$A$21)</f>
        <v>0</v>
      </c>
      <c r="B27" t="s">
        <v>54</v>
      </c>
      <c r="C27" t="s">
        <v>65</v>
      </c>
      <c r="D27" t="s">
        <v>38</v>
      </c>
      <c r="E27" t="s">
        <v>98</v>
      </c>
      <c r="I27" t="b">
        <f>AND(K27='PRODUCT 1'!$D$28,L27='PRODUCT 1'!$C$28,M27='PRODUCT 1'!$A$28)</f>
        <v>0</v>
      </c>
      <c r="J27" t="s">
        <v>59</v>
      </c>
      <c r="K27" t="s">
        <v>67</v>
      </c>
      <c r="L27">
        <v>90</v>
      </c>
      <c r="M27" t="s">
        <v>98</v>
      </c>
    </row>
    <row r="28" spans="1:13">
      <c r="A28" t="b">
        <f>AND(C28='PRODUCT 1'!$D$21,D28='PRODUCT 1'!$C$21,E28='PRODUCT 1'!$A$21)</f>
        <v>0</v>
      </c>
      <c r="B28" t="s">
        <v>76</v>
      </c>
      <c r="C28" t="s">
        <v>65</v>
      </c>
      <c r="D28" t="s">
        <v>38</v>
      </c>
      <c r="E28" t="s">
        <v>92</v>
      </c>
      <c r="I28" t="b">
        <f>AND(K28='PRODUCT 1'!$D$28,L28='PRODUCT 1'!$C$28,M28='PRODUCT 1'!$A$28)</f>
        <v>0</v>
      </c>
      <c r="J28" t="s">
        <v>60</v>
      </c>
      <c r="K28" t="s">
        <v>66</v>
      </c>
      <c r="L28">
        <v>90</v>
      </c>
      <c r="M28" t="s">
        <v>98</v>
      </c>
    </row>
    <row r="29" spans="1:13">
      <c r="A29" t="b">
        <f>AND(C29='PRODUCT 1'!$D$21,D29='PRODUCT 1'!$C$21,E29='PRODUCT 1'!$A$21)</f>
        <v>0</v>
      </c>
      <c r="B29" t="s">
        <v>58</v>
      </c>
      <c r="C29" t="s">
        <v>65</v>
      </c>
      <c r="D29">
        <v>90</v>
      </c>
      <c r="E29" t="s">
        <v>98</v>
      </c>
      <c r="I29" t="b">
        <f>AND(K29='PRODUCT 1'!$D$28,L29='PRODUCT 1'!$C$28,M29='PRODUCT 1'!$A$28)</f>
        <v>0</v>
      </c>
      <c r="J29" t="s">
        <v>61</v>
      </c>
      <c r="K29" t="s">
        <v>68</v>
      </c>
      <c r="L29">
        <v>90</v>
      </c>
      <c r="M29" t="s">
        <v>98</v>
      </c>
    </row>
    <row r="30" spans="1:13">
      <c r="A30" t="b">
        <f>AND(C30='PRODUCT 1'!$D$21,D30='PRODUCT 1'!$C$21,E30='PRODUCT 1'!$A$21)</f>
        <v>0</v>
      </c>
      <c r="B30" t="s">
        <v>73</v>
      </c>
      <c r="C30" t="s">
        <v>65</v>
      </c>
      <c r="D30">
        <v>90</v>
      </c>
      <c r="E30" t="s">
        <v>92</v>
      </c>
      <c r="I30" t="b">
        <f>AND(K30='PRODUCT 1'!$D$28,L30='PRODUCT 1'!$C$28,M30='PRODUCT 1'!$A$28)</f>
        <v>0</v>
      </c>
      <c r="J30" t="s">
        <v>70</v>
      </c>
      <c r="K30" t="s">
        <v>71</v>
      </c>
      <c r="L30">
        <v>90</v>
      </c>
      <c r="M30" t="s">
        <v>98</v>
      </c>
    </row>
    <row r="31" spans="1:13">
      <c r="A31" t="b">
        <f>AND(C31='PRODUCT 1'!$D$21,D31='PRODUCT 1'!$C$21,E31='PRODUCT 1'!$A$21)</f>
        <v>0</v>
      </c>
      <c r="B31" t="s">
        <v>75</v>
      </c>
      <c r="C31" t="s">
        <v>64</v>
      </c>
      <c r="D31" t="s">
        <v>38</v>
      </c>
      <c r="E31" t="s">
        <v>92</v>
      </c>
      <c r="I31" t="b">
        <f>AND(K31='PRODUCT 1'!$D$28,L31='PRODUCT 1'!$C$28,M31='PRODUCT 1'!$A$28)</f>
        <v>0</v>
      </c>
      <c r="J31" t="s">
        <v>62</v>
      </c>
      <c r="K31" t="s">
        <v>63</v>
      </c>
      <c r="L31">
        <v>90</v>
      </c>
      <c r="M31" t="s">
        <v>92</v>
      </c>
    </row>
    <row r="32" spans="1:13">
      <c r="A32" t="b">
        <f>AND(C32='PRODUCT 1'!$D$21,D32='PRODUCT 1'!$C$21,E32='PRODUCT 1'!$A$21)</f>
        <v>0</v>
      </c>
      <c r="B32" t="s">
        <v>72</v>
      </c>
      <c r="C32" t="s">
        <v>64</v>
      </c>
      <c r="D32">
        <v>90</v>
      </c>
      <c r="E32" t="s">
        <v>92</v>
      </c>
      <c r="I32" t="b">
        <f>AND(K32='PRODUCT 1'!$D$28,L32='PRODUCT 1'!$C$28,M32='PRODUCT 1'!$A$28)</f>
        <v>0</v>
      </c>
      <c r="J32" t="s">
        <v>72</v>
      </c>
      <c r="K32" t="s">
        <v>64</v>
      </c>
      <c r="L32">
        <v>90</v>
      </c>
      <c r="M32" t="s">
        <v>92</v>
      </c>
    </row>
    <row r="33" spans="1:13">
      <c r="A33" t="b">
        <f>AND(C33='PRODUCT 1'!$D$21,D33='PRODUCT 1'!$C$21,E33='PRODUCT 1'!$A$21)</f>
        <v>0</v>
      </c>
      <c r="B33" t="s">
        <v>60</v>
      </c>
      <c r="C33" t="s">
        <v>66</v>
      </c>
      <c r="D33">
        <v>90</v>
      </c>
      <c r="E33" t="s">
        <v>98</v>
      </c>
      <c r="I33" t="b">
        <f>AND(K33='PRODUCT 1'!$D$28,L33='PRODUCT 1'!$C$28,M33='PRODUCT 1'!$A$28)</f>
        <v>0</v>
      </c>
      <c r="J33" t="s">
        <v>73</v>
      </c>
      <c r="K33" t="s">
        <v>65</v>
      </c>
      <c r="L33">
        <v>90</v>
      </c>
      <c r="M33" t="s">
        <v>92</v>
      </c>
    </row>
    <row r="34" spans="1:13">
      <c r="A34" t="b">
        <f>AND(C34='PRODUCT 1'!$D$21,D34='PRODUCT 1'!$C$21,E34='PRODUCT 1'!$A$21)</f>
        <v>0</v>
      </c>
      <c r="B34" t="s">
        <v>44</v>
      </c>
      <c r="C34" t="s">
        <v>44</v>
      </c>
      <c r="D34" t="s">
        <v>44</v>
      </c>
      <c r="E34" t="s">
        <v>93</v>
      </c>
      <c r="I34" t="b">
        <f>AND(K34='PRODUCT 1'!$D$28,L34='PRODUCT 1'!$C$28,M34='PRODUCT 1'!$A$28)</f>
        <v>0</v>
      </c>
      <c r="J34" t="s">
        <v>77</v>
      </c>
      <c r="K34" t="s">
        <v>63</v>
      </c>
      <c r="L34">
        <v>90</v>
      </c>
      <c r="M34" t="s">
        <v>91</v>
      </c>
    </row>
    <row r="35" spans="1:13">
      <c r="A35" t="b">
        <f>AND(C35='PRODUCT 1'!$A$21)</f>
        <v>0</v>
      </c>
      <c r="B35" t="s">
        <v>79</v>
      </c>
      <c r="C35" t="s">
        <v>97</v>
      </c>
      <c r="I35" t="b">
        <f>AND(J35='PRODUCT 1'!$A$28)</f>
        <v>0</v>
      </c>
      <c r="J35" t="s">
        <v>101</v>
      </c>
    </row>
    <row r="37" spans="1:13">
      <c r="I37" t="s">
        <v>134</v>
      </c>
    </row>
    <row r="38" spans="1:13">
      <c r="A38" t="s">
        <v>131</v>
      </c>
      <c r="I38" t="s">
        <v>80</v>
      </c>
      <c r="J38" t="s">
        <v>80</v>
      </c>
    </row>
    <row r="39" spans="1:13">
      <c r="A39" t="s">
        <v>85</v>
      </c>
      <c r="B39" t="s">
        <v>50</v>
      </c>
      <c r="C39" t="s">
        <v>51</v>
      </c>
      <c r="D39" t="s">
        <v>52</v>
      </c>
      <c r="E39" t="s">
        <v>84</v>
      </c>
      <c r="I39" t="s">
        <v>85</v>
      </c>
      <c r="J39" t="s">
        <v>50</v>
      </c>
      <c r="K39" t="s">
        <v>51</v>
      </c>
      <c r="L39" t="s">
        <v>52</v>
      </c>
      <c r="M39" t="s">
        <v>53</v>
      </c>
    </row>
    <row r="40" spans="1:13">
      <c r="A40" t="b">
        <f>AND($C$16='PRODUCT 2'!$D$21,$D$16='PRODUCT 2'!$C$21,$E$16='PRODUCT 2'!$A$21)</f>
        <v>0</v>
      </c>
      <c r="B40" t="s">
        <v>57</v>
      </c>
      <c r="C40" t="s">
        <v>71</v>
      </c>
      <c r="D40" t="s">
        <v>38</v>
      </c>
      <c r="E40" t="s">
        <v>98</v>
      </c>
      <c r="I40" t="b">
        <f>AND(K40='PRODUCT 2'!$D$28,L40='PRODUCT 2'!$C$28,M40='PRODUCT 2'!$A$28)</f>
        <v>0</v>
      </c>
      <c r="J40" t="s">
        <v>49</v>
      </c>
      <c r="K40" t="s">
        <v>63</v>
      </c>
      <c r="L40" t="s">
        <v>38</v>
      </c>
      <c r="M40" t="s">
        <v>98</v>
      </c>
    </row>
    <row r="41" spans="1:13">
      <c r="A41" t="b">
        <f>AND(C41='PRODUCT 2'!$D$21,D41='PRODUCT 2'!$C$21,E41='PRODUCT 2'!$A$21)</f>
        <v>0</v>
      </c>
      <c r="B41" t="s">
        <v>70</v>
      </c>
      <c r="C41" t="s">
        <v>71</v>
      </c>
      <c r="D41">
        <v>90</v>
      </c>
      <c r="E41" t="s">
        <v>98</v>
      </c>
      <c r="I41" t="b">
        <f>AND(K41='PRODUCT 2'!$D$28,L41='PRODUCT 2'!$C$28,M41='PRODUCT 2'!$A$28)</f>
        <v>0</v>
      </c>
      <c r="J41" t="s">
        <v>54</v>
      </c>
      <c r="K41" t="s">
        <v>65</v>
      </c>
      <c r="L41" t="s">
        <v>38</v>
      </c>
      <c r="M41" t="s">
        <v>98</v>
      </c>
    </row>
    <row r="42" spans="1:13">
      <c r="A42" t="b">
        <f>AND(C42='PRODUCT 2'!$D$21,D42='PRODUCT 2'!$C$21,E42='PRODUCT 2'!$A$21)</f>
        <v>0</v>
      </c>
      <c r="B42" t="s">
        <v>55</v>
      </c>
      <c r="C42" t="s">
        <v>67</v>
      </c>
      <c r="D42" t="s">
        <v>38</v>
      </c>
      <c r="E42" t="s">
        <v>98</v>
      </c>
      <c r="I42" t="b">
        <f>AND(K42='PRODUCT 2'!$D$28,L42='PRODUCT 2'!$C$28,M42='PRODUCT 2'!$A$28)</f>
        <v>0</v>
      </c>
      <c r="J42" t="s">
        <v>55</v>
      </c>
      <c r="K42" t="s">
        <v>67</v>
      </c>
      <c r="L42" t="s">
        <v>38</v>
      </c>
      <c r="M42" t="s">
        <v>98</v>
      </c>
    </row>
    <row r="43" spans="1:13">
      <c r="A43" t="b">
        <f>AND(C43='PRODUCT 2'!$D$21,D43='PRODUCT 2'!$C$21,E43='PRODUCT 2'!$A$21)</f>
        <v>0</v>
      </c>
      <c r="B43" t="s">
        <v>59</v>
      </c>
      <c r="C43" t="s">
        <v>67</v>
      </c>
      <c r="D43">
        <v>90</v>
      </c>
      <c r="E43" t="s">
        <v>98</v>
      </c>
      <c r="I43" t="b">
        <f>AND(K43='PRODUCT 2'!$D$28,L43='PRODUCT 2'!$C$28,M43='PRODUCT 2'!$A$28)</f>
        <v>0</v>
      </c>
      <c r="J43" t="s">
        <v>56</v>
      </c>
      <c r="K43" t="s">
        <v>68</v>
      </c>
      <c r="L43" t="s">
        <v>38</v>
      </c>
      <c r="M43" t="s">
        <v>98</v>
      </c>
    </row>
    <row r="44" spans="1:13">
      <c r="A44" t="b">
        <f>AND(C44='PRODUCT 2'!$D$21,D44='PRODUCT 2'!$C$21,E44='PRODUCT 2'!$A$21)</f>
        <v>0</v>
      </c>
      <c r="B44" t="s">
        <v>49</v>
      </c>
      <c r="C44" t="s">
        <v>63</v>
      </c>
      <c r="D44" t="s">
        <v>38</v>
      </c>
      <c r="E44" t="s">
        <v>98</v>
      </c>
      <c r="I44" t="b">
        <f>AND(K44='PRODUCT 2'!$D$28,L44='PRODUCT 2'!$C$28,M44='PRODUCT 2'!$A$28)</f>
        <v>0</v>
      </c>
      <c r="J44" t="s">
        <v>57</v>
      </c>
      <c r="K44" t="s">
        <v>71</v>
      </c>
      <c r="L44" t="s">
        <v>38</v>
      </c>
      <c r="M44" t="s">
        <v>98</v>
      </c>
    </row>
    <row r="45" spans="1:13">
      <c r="A45" t="b">
        <f>AND(C45='PRODUCT 2'!$D$21,D45='PRODUCT 2'!$C$21,E45='PRODUCT 2'!$A$21)</f>
        <v>0</v>
      </c>
      <c r="B45" t="s">
        <v>74</v>
      </c>
      <c r="C45" t="s">
        <v>63</v>
      </c>
      <c r="D45" t="s">
        <v>38</v>
      </c>
      <c r="E45" t="s">
        <v>92</v>
      </c>
      <c r="I45" t="b">
        <f>AND(K45='PRODUCT 2'!$D$28,L45='PRODUCT 2'!$C$28,M45='PRODUCT 2'!$A$28)</f>
        <v>0</v>
      </c>
      <c r="J45" t="s">
        <v>74</v>
      </c>
      <c r="K45" t="s">
        <v>63</v>
      </c>
      <c r="L45" t="s">
        <v>38</v>
      </c>
      <c r="M45" t="s">
        <v>92</v>
      </c>
    </row>
    <row r="46" spans="1:13">
      <c r="A46" t="b">
        <f>AND(C46='PRODUCT 2'!$D$21,D46='PRODUCT 2'!$C$21,E46='PRODUCT 2'!$A$21)</f>
        <v>0</v>
      </c>
      <c r="B46" t="s">
        <v>62</v>
      </c>
      <c r="C46" t="s">
        <v>63</v>
      </c>
      <c r="D46">
        <v>90</v>
      </c>
      <c r="E46" t="s">
        <v>92</v>
      </c>
      <c r="I46" t="b">
        <f>AND(K46='PRODUCT 2'!$D$28,L46='PRODUCT 2'!$C$28,M46='PRODUCT 2'!$A$28)</f>
        <v>0</v>
      </c>
      <c r="J46" t="s">
        <v>75</v>
      </c>
      <c r="K46" t="s">
        <v>64</v>
      </c>
      <c r="L46" t="s">
        <v>38</v>
      </c>
      <c r="M46" t="s">
        <v>92</v>
      </c>
    </row>
    <row r="47" spans="1:13">
      <c r="A47" t="b">
        <f>AND(C47='PRODUCT 2'!$D$21,D47='PRODUCT 2'!$C$21,E47='PRODUCT 2'!$A$21)</f>
        <v>0</v>
      </c>
      <c r="B47" t="s">
        <v>77</v>
      </c>
      <c r="C47" t="s">
        <v>63</v>
      </c>
      <c r="D47">
        <v>90</v>
      </c>
      <c r="E47" t="s">
        <v>91</v>
      </c>
      <c r="I47" t="b">
        <f>AND(K47='PRODUCT 2'!$D$28,L47='PRODUCT 2'!$C$28,M47='PRODUCT 2'!$A$28)</f>
        <v>0</v>
      </c>
      <c r="J47" t="s">
        <v>76</v>
      </c>
      <c r="K47" t="s">
        <v>65</v>
      </c>
      <c r="L47" t="s">
        <v>38</v>
      </c>
      <c r="M47" t="s">
        <v>92</v>
      </c>
    </row>
    <row r="48" spans="1:13">
      <c r="A48" t="b">
        <f>AND(C48='PRODUCT 2'!$D$21,D48='PRODUCT 2'!$C$21,E48='PRODUCT 2'!$A$21)</f>
        <v>0</v>
      </c>
      <c r="B48" t="s">
        <v>78</v>
      </c>
      <c r="C48" t="s">
        <v>63</v>
      </c>
      <c r="D48" t="s">
        <v>38</v>
      </c>
      <c r="E48" t="s">
        <v>91</v>
      </c>
      <c r="I48" t="b">
        <f>AND(K48='PRODUCT 2'!$D$28,L48='PRODUCT 2'!$C$28,M48='PRODUCT 2'!$A$28)</f>
        <v>0</v>
      </c>
      <c r="J48" t="s">
        <v>78</v>
      </c>
      <c r="K48" t="s">
        <v>63</v>
      </c>
      <c r="L48" t="s">
        <v>38</v>
      </c>
      <c r="M48" t="s">
        <v>91</v>
      </c>
    </row>
    <row r="49" spans="1:13">
      <c r="A49" t="b">
        <f>AND(C49='PRODUCT 2'!$D$21,D49='PRODUCT 2'!$C$21,E49='PRODUCT 2'!$A$21)</f>
        <v>0</v>
      </c>
      <c r="B49" t="s">
        <v>56</v>
      </c>
      <c r="C49" t="s">
        <v>68</v>
      </c>
      <c r="D49" t="s">
        <v>38</v>
      </c>
      <c r="E49" t="s">
        <v>98</v>
      </c>
      <c r="I49" t="b">
        <f>AND(K49='PRODUCT 2'!$A$28)</f>
        <v>0</v>
      </c>
      <c r="J49" t="s">
        <v>79</v>
      </c>
      <c r="K49" t="s">
        <v>97</v>
      </c>
      <c r="L49" t="s">
        <v>38</v>
      </c>
      <c r="M49" t="s">
        <v>97</v>
      </c>
    </row>
    <row r="50" spans="1:13">
      <c r="A50" t="b">
        <f>AND(C50='PRODUCT 2'!$D$21,D50='PRODUCT 2'!$C$21,E50='PRODUCT 2'!$A$21)</f>
        <v>0</v>
      </c>
      <c r="B50" t="s">
        <v>61</v>
      </c>
      <c r="C50" t="s">
        <v>68</v>
      </c>
      <c r="D50">
        <v>90</v>
      </c>
      <c r="E50" t="s">
        <v>98</v>
      </c>
      <c r="I50" t="b">
        <f>AND(K50='PRODUCT 2'!$D$28,L50='PRODUCT 2'!$C$28,M50='PRODUCT 2'!$A$28)</f>
        <v>0</v>
      </c>
      <c r="J50" t="s">
        <v>58</v>
      </c>
      <c r="K50" t="s">
        <v>65</v>
      </c>
      <c r="L50">
        <v>90</v>
      </c>
      <c r="M50" t="s">
        <v>98</v>
      </c>
    </row>
    <row r="51" spans="1:13">
      <c r="A51" t="b">
        <f>AND(C51='PRODUCT 2'!$D$21,D51='PRODUCT 2'!$C$21,E51='PRODUCT 2'!$A$21)</f>
        <v>0</v>
      </c>
      <c r="B51" t="s">
        <v>54</v>
      </c>
      <c r="C51" t="s">
        <v>65</v>
      </c>
      <c r="D51" t="s">
        <v>38</v>
      </c>
      <c r="E51" t="s">
        <v>98</v>
      </c>
      <c r="I51" t="b">
        <f>AND(K51='PRODUCT 2'!$D$28,L51='PRODUCT 2'!$C$28,M51='PRODUCT 2'!$A$28)</f>
        <v>0</v>
      </c>
      <c r="J51" t="s">
        <v>59</v>
      </c>
      <c r="K51" t="s">
        <v>67</v>
      </c>
      <c r="L51">
        <v>90</v>
      </c>
      <c r="M51" t="s">
        <v>98</v>
      </c>
    </row>
    <row r="52" spans="1:13">
      <c r="A52" t="b">
        <f>AND(C52='PRODUCT 2'!$D$21,D52='PRODUCT 2'!$C$21,E52='PRODUCT 2'!$A$21)</f>
        <v>0</v>
      </c>
      <c r="B52" t="s">
        <v>76</v>
      </c>
      <c r="C52" t="s">
        <v>65</v>
      </c>
      <c r="D52" t="s">
        <v>38</v>
      </c>
      <c r="E52" t="s">
        <v>92</v>
      </c>
      <c r="I52" t="b">
        <f>AND(K52='PRODUCT 2'!$D$28,L52='PRODUCT 2'!$C$28,M52='PRODUCT 2'!$A$28)</f>
        <v>0</v>
      </c>
      <c r="J52" t="s">
        <v>60</v>
      </c>
      <c r="K52" t="s">
        <v>66</v>
      </c>
      <c r="L52">
        <v>90</v>
      </c>
      <c r="M52" t="s">
        <v>98</v>
      </c>
    </row>
    <row r="53" spans="1:13">
      <c r="A53" t="b">
        <f>AND(C53='PRODUCT 2'!$D$21,D53='PRODUCT 2'!$C$21,E53='PRODUCT 2'!$A$21)</f>
        <v>0</v>
      </c>
      <c r="B53" t="s">
        <v>58</v>
      </c>
      <c r="C53" t="s">
        <v>65</v>
      </c>
      <c r="D53">
        <v>90</v>
      </c>
      <c r="E53" t="s">
        <v>98</v>
      </c>
      <c r="I53" t="b">
        <f>AND(K53='PRODUCT 2'!$D$28,L53='PRODUCT 2'!$C$28,M53='PRODUCT 2'!$A$28)</f>
        <v>0</v>
      </c>
      <c r="J53" t="s">
        <v>61</v>
      </c>
      <c r="K53" t="s">
        <v>68</v>
      </c>
      <c r="L53">
        <v>90</v>
      </c>
      <c r="M53" t="s">
        <v>98</v>
      </c>
    </row>
    <row r="54" spans="1:13">
      <c r="A54" t="b">
        <f>AND(C54='PRODUCT 2'!$D$21,D54='PRODUCT 2'!$C$21,E54='PRODUCT 2'!$A$21)</f>
        <v>0</v>
      </c>
      <c r="B54" t="s">
        <v>73</v>
      </c>
      <c r="C54" t="s">
        <v>65</v>
      </c>
      <c r="D54">
        <v>90</v>
      </c>
      <c r="E54" t="s">
        <v>92</v>
      </c>
      <c r="I54" t="b">
        <f>AND(K54='PRODUCT 2'!$D$28,L54='PRODUCT 2'!$C$28,M54='PRODUCT 2'!$A$28)</f>
        <v>0</v>
      </c>
      <c r="J54" t="s">
        <v>70</v>
      </c>
      <c r="K54" t="s">
        <v>71</v>
      </c>
      <c r="L54">
        <v>90</v>
      </c>
      <c r="M54" t="s">
        <v>98</v>
      </c>
    </row>
    <row r="55" spans="1:13">
      <c r="A55" t="b">
        <f>AND(C55='PRODUCT 2'!$D$21,D55='PRODUCT 2'!$C$21,E55='PRODUCT 2'!$A$21)</f>
        <v>0</v>
      </c>
      <c r="B55" t="s">
        <v>75</v>
      </c>
      <c r="C55" t="s">
        <v>64</v>
      </c>
      <c r="D55" t="s">
        <v>38</v>
      </c>
      <c r="E55" t="s">
        <v>92</v>
      </c>
      <c r="I55" t="b">
        <f>AND(K55='PRODUCT 2'!$D$28,L55='PRODUCT 2'!$C$28,M55='PRODUCT 2'!$A$28)</f>
        <v>0</v>
      </c>
      <c r="J55" t="s">
        <v>62</v>
      </c>
      <c r="K55" t="s">
        <v>63</v>
      </c>
      <c r="L55">
        <v>90</v>
      </c>
      <c r="M55" t="s">
        <v>92</v>
      </c>
    </row>
    <row r="56" spans="1:13">
      <c r="A56" t="b">
        <f>AND(C56='PRODUCT 2'!$D$21,D56='PRODUCT 2'!$C$21,E56='PRODUCT 2'!$A$21)</f>
        <v>0</v>
      </c>
      <c r="B56" t="s">
        <v>72</v>
      </c>
      <c r="C56" t="s">
        <v>64</v>
      </c>
      <c r="D56">
        <v>90</v>
      </c>
      <c r="E56" t="s">
        <v>92</v>
      </c>
      <c r="I56" t="b">
        <f>AND(K56='PRODUCT 2'!$D$28,L56='PRODUCT 2'!$C$28,M56='PRODUCT 2'!$A$28)</f>
        <v>0</v>
      </c>
      <c r="J56" t="s">
        <v>72</v>
      </c>
      <c r="K56" t="s">
        <v>64</v>
      </c>
      <c r="L56">
        <v>90</v>
      </c>
      <c r="M56" t="s">
        <v>92</v>
      </c>
    </row>
    <row r="57" spans="1:13">
      <c r="A57" t="b">
        <f>AND(C57='PRODUCT 2'!$D$21,D57='PRODUCT 2'!$C$21,E57='PRODUCT 2'!$A$21)</f>
        <v>0</v>
      </c>
      <c r="B57" t="s">
        <v>60</v>
      </c>
      <c r="C57" t="s">
        <v>66</v>
      </c>
      <c r="D57">
        <v>90</v>
      </c>
      <c r="E57" t="s">
        <v>98</v>
      </c>
      <c r="I57" t="b">
        <f>AND(K57='PRODUCT 2'!$D$28,L57='PRODUCT 2'!$C$28,M57='PRODUCT 2'!$A$28)</f>
        <v>0</v>
      </c>
      <c r="J57" t="s">
        <v>73</v>
      </c>
      <c r="K57" t="s">
        <v>65</v>
      </c>
      <c r="L57">
        <v>90</v>
      </c>
      <c r="M57" t="s">
        <v>92</v>
      </c>
    </row>
    <row r="58" spans="1:13">
      <c r="A58" t="b">
        <f>AND(C58='PRODUCT 2'!$D$21,D58='PRODUCT 2'!$C$21,E58='PRODUCT 2'!$A$21)</f>
        <v>0</v>
      </c>
      <c r="B58" t="s">
        <v>44</v>
      </c>
      <c r="C58" t="s">
        <v>44</v>
      </c>
      <c r="D58" t="s">
        <v>44</v>
      </c>
      <c r="E58" t="s">
        <v>93</v>
      </c>
      <c r="I58" t="b">
        <f>AND(K58='PRODUCT 2'!$D$28,L58='PRODUCT 2'!$C$28,M58='PRODUCT 2'!$A$28)</f>
        <v>0</v>
      </c>
      <c r="J58" t="s">
        <v>77</v>
      </c>
      <c r="K58" t="s">
        <v>63</v>
      </c>
      <c r="L58">
        <v>90</v>
      </c>
      <c r="M58" t="s">
        <v>91</v>
      </c>
    </row>
    <row r="59" spans="1:13">
      <c r="A59" t="b">
        <f>AND(C59='PRODUCT 2'!$A$21)</f>
        <v>0</v>
      </c>
      <c r="B59" t="s">
        <v>79</v>
      </c>
      <c r="C59" t="s">
        <v>97</v>
      </c>
      <c r="I59" t="b">
        <f>AND(J59='PRODUCT 2'!$A$28)</f>
        <v>0</v>
      </c>
      <c r="J59" t="s">
        <v>101</v>
      </c>
    </row>
    <row r="61" spans="1:13">
      <c r="I61" t="s">
        <v>133</v>
      </c>
    </row>
    <row r="62" spans="1:13">
      <c r="A62" t="s">
        <v>132</v>
      </c>
      <c r="I62" t="s">
        <v>80</v>
      </c>
      <c r="J62" t="s">
        <v>80</v>
      </c>
    </row>
    <row r="63" spans="1:13">
      <c r="A63" t="s">
        <v>85</v>
      </c>
      <c r="B63" t="s">
        <v>50</v>
      </c>
      <c r="C63" t="s">
        <v>51</v>
      </c>
      <c r="D63" t="s">
        <v>52</v>
      </c>
      <c r="E63" t="s">
        <v>84</v>
      </c>
      <c r="I63" t="s">
        <v>85</v>
      </c>
      <c r="J63" t="s">
        <v>50</v>
      </c>
      <c r="K63" t="s">
        <v>51</v>
      </c>
      <c r="L63" t="s">
        <v>52</v>
      </c>
      <c r="M63" t="s">
        <v>53</v>
      </c>
    </row>
    <row r="64" spans="1:13">
      <c r="A64" t="b">
        <f>AND($C$16='PRODUCT 3'!$D$21,$D$16='PRODUCT 3'!$C$21,$E$16='PRODUCT 3'!$A$21)</f>
        <v>0</v>
      </c>
      <c r="B64" t="s">
        <v>57</v>
      </c>
      <c r="C64" t="s">
        <v>71</v>
      </c>
      <c r="D64" t="s">
        <v>38</v>
      </c>
      <c r="E64" t="s">
        <v>98</v>
      </c>
      <c r="I64" t="b">
        <f>AND(K64='PRODUCT 3'!$D$28,L64='PRODUCT 3'!$C$28,M64='PRODUCT 3'!$A$28)</f>
        <v>0</v>
      </c>
      <c r="J64" t="s">
        <v>49</v>
      </c>
      <c r="K64" t="s">
        <v>63</v>
      </c>
      <c r="L64" t="s">
        <v>38</v>
      </c>
      <c r="M64" t="s">
        <v>98</v>
      </c>
    </row>
    <row r="65" spans="1:13">
      <c r="A65" t="b">
        <f>AND(C65='PRODUCT 3'!$D$21,D65='PRODUCT 3'!$C$21,E65='PRODUCT 3'!$A$21)</f>
        <v>0</v>
      </c>
      <c r="B65" t="s">
        <v>70</v>
      </c>
      <c r="C65" t="s">
        <v>71</v>
      </c>
      <c r="D65">
        <v>90</v>
      </c>
      <c r="E65" t="s">
        <v>98</v>
      </c>
      <c r="I65" t="b">
        <f>AND(K65='PRODUCT 3'!$D$28,L65='PRODUCT 3'!$C$28,M65='PRODUCT 3'!$A$28)</f>
        <v>0</v>
      </c>
      <c r="J65" t="s">
        <v>54</v>
      </c>
      <c r="K65" t="s">
        <v>65</v>
      </c>
      <c r="L65" t="s">
        <v>38</v>
      </c>
      <c r="M65" t="s">
        <v>98</v>
      </c>
    </row>
    <row r="66" spans="1:13">
      <c r="A66" t="b">
        <f>AND(C66='PRODUCT 3'!$D$21,D66='PRODUCT 3'!$C$21,E66='PRODUCT 3'!$A$21)</f>
        <v>0</v>
      </c>
      <c r="B66" t="s">
        <v>55</v>
      </c>
      <c r="C66" t="s">
        <v>67</v>
      </c>
      <c r="D66" t="s">
        <v>38</v>
      </c>
      <c r="E66" t="s">
        <v>98</v>
      </c>
      <c r="I66" t="b">
        <f>AND(K66='PRODUCT 3'!$D$28,L66='PRODUCT 3'!$C$28,M66='PRODUCT 3'!$A$28)</f>
        <v>0</v>
      </c>
      <c r="J66" t="s">
        <v>55</v>
      </c>
      <c r="K66" t="s">
        <v>67</v>
      </c>
      <c r="L66" t="s">
        <v>38</v>
      </c>
      <c r="M66" t="s">
        <v>98</v>
      </c>
    </row>
    <row r="67" spans="1:13">
      <c r="A67" t="b">
        <f>AND(C67='PRODUCT 3'!$D$21,D67='PRODUCT 3'!$C$21,E67='PRODUCT 3'!$A$21)</f>
        <v>0</v>
      </c>
      <c r="B67" t="s">
        <v>59</v>
      </c>
      <c r="C67" t="s">
        <v>67</v>
      </c>
      <c r="D67">
        <v>90</v>
      </c>
      <c r="E67" t="s">
        <v>98</v>
      </c>
      <c r="I67" t="b">
        <f>AND(K67='PRODUCT 3'!$D$28,L67='PRODUCT 3'!$C$28,M67='PRODUCT 3'!$A$28)</f>
        <v>0</v>
      </c>
      <c r="J67" t="s">
        <v>56</v>
      </c>
      <c r="K67" t="s">
        <v>68</v>
      </c>
      <c r="L67" t="s">
        <v>38</v>
      </c>
      <c r="M67" t="s">
        <v>98</v>
      </c>
    </row>
    <row r="68" spans="1:13">
      <c r="A68" t="b">
        <f>AND(C68='PRODUCT 3'!$D$21,D68='PRODUCT 3'!$C$21,E68='PRODUCT 3'!$A$21)</f>
        <v>0</v>
      </c>
      <c r="B68" t="s">
        <v>49</v>
      </c>
      <c r="C68" t="s">
        <v>63</v>
      </c>
      <c r="D68" t="s">
        <v>38</v>
      </c>
      <c r="E68" t="s">
        <v>98</v>
      </c>
      <c r="I68" t="b">
        <f>AND(K68='PRODUCT 3'!$D$28,L68='PRODUCT 3'!$C$28,M68='PRODUCT 3'!$A$28)</f>
        <v>0</v>
      </c>
      <c r="J68" t="s">
        <v>57</v>
      </c>
      <c r="K68" t="s">
        <v>71</v>
      </c>
      <c r="L68" t="s">
        <v>38</v>
      </c>
      <c r="M68" t="s">
        <v>98</v>
      </c>
    </row>
    <row r="69" spans="1:13">
      <c r="A69" t="b">
        <f>AND(C69='PRODUCT 3'!$D$21,D69='PRODUCT 3'!$C$21,E69='PRODUCT 3'!$A$21)</f>
        <v>0</v>
      </c>
      <c r="B69" t="s">
        <v>74</v>
      </c>
      <c r="C69" t="s">
        <v>63</v>
      </c>
      <c r="D69" t="s">
        <v>38</v>
      </c>
      <c r="E69" t="s">
        <v>92</v>
      </c>
      <c r="I69" t="b">
        <f>AND(K69='PRODUCT 3'!$D$28,L69='PRODUCT 3'!$C$28,M69='PRODUCT 3'!$A$28)</f>
        <v>0</v>
      </c>
      <c r="J69" t="s">
        <v>74</v>
      </c>
      <c r="K69" t="s">
        <v>63</v>
      </c>
      <c r="L69" t="s">
        <v>38</v>
      </c>
      <c r="M69" t="s">
        <v>92</v>
      </c>
    </row>
    <row r="70" spans="1:13">
      <c r="A70" t="b">
        <f>AND(C70='PRODUCT 3'!$D$21,D70='PRODUCT 3'!$C$21,E70='PRODUCT 3'!$A$21)</f>
        <v>0</v>
      </c>
      <c r="B70" t="s">
        <v>62</v>
      </c>
      <c r="C70" t="s">
        <v>63</v>
      </c>
      <c r="D70">
        <v>90</v>
      </c>
      <c r="E70" t="s">
        <v>92</v>
      </c>
      <c r="I70" t="b">
        <f>AND(K70='PRODUCT 3'!$D$28,L70='PRODUCT 3'!$C$28,M70='PRODUCT 3'!$A$28)</f>
        <v>0</v>
      </c>
      <c r="J70" t="s">
        <v>75</v>
      </c>
      <c r="K70" t="s">
        <v>64</v>
      </c>
      <c r="L70" t="s">
        <v>38</v>
      </c>
      <c r="M70" t="s">
        <v>92</v>
      </c>
    </row>
    <row r="71" spans="1:13">
      <c r="A71" t="b">
        <f>AND(C71='PRODUCT 3'!$D$21,D71='PRODUCT 3'!$C$21,E71='PRODUCT 3'!$A$21)</f>
        <v>0</v>
      </c>
      <c r="B71" t="s">
        <v>77</v>
      </c>
      <c r="C71" t="s">
        <v>63</v>
      </c>
      <c r="D71">
        <v>90</v>
      </c>
      <c r="E71" t="s">
        <v>91</v>
      </c>
      <c r="I71" t="b">
        <f>AND(K71='PRODUCT 3'!$D$28,L71='PRODUCT 3'!$C$28,M71='PRODUCT 3'!$A$28)</f>
        <v>0</v>
      </c>
      <c r="J71" t="s">
        <v>76</v>
      </c>
      <c r="K71" t="s">
        <v>65</v>
      </c>
      <c r="L71" t="s">
        <v>38</v>
      </c>
      <c r="M71" t="s">
        <v>92</v>
      </c>
    </row>
    <row r="72" spans="1:13">
      <c r="A72" t="b">
        <f>AND(C72='PRODUCT 3'!$D$21,D72='PRODUCT 3'!$C$21,E72='PRODUCT 3'!$A$21)</f>
        <v>0</v>
      </c>
      <c r="B72" t="s">
        <v>78</v>
      </c>
      <c r="C72" t="s">
        <v>63</v>
      </c>
      <c r="D72" t="s">
        <v>38</v>
      </c>
      <c r="E72" t="s">
        <v>91</v>
      </c>
      <c r="I72" t="b">
        <f>AND(K72='PRODUCT 3'!$D$28,L72='PRODUCT 3'!$C$28,M72='PRODUCT 3'!$A$28)</f>
        <v>0</v>
      </c>
      <c r="J72" t="s">
        <v>78</v>
      </c>
      <c r="K72" t="s">
        <v>63</v>
      </c>
      <c r="L72" t="s">
        <v>38</v>
      </c>
      <c r="M72" t="s">
        <v>91</v>
      </c>
    </row>
    <row r="73" spans="1:13">
      <c r="A73" t="b">
        <f>AND(C73='PRODUCT 3'!$D$21,D73='PRODUCT 3'!$C$21,E73='PRODUCT 3'!$A$21)</f>
        <v>0</v>
      </c>
      <c r="B73" t="s">
        <v>56</v>
      </c>
      <c r="C73" t="s">
        <v>68</v>
      </c>
      <c r="D73" t="s">
        <v>38</v>
      </c>
      <c r="E73" t="s">
        <v>98</v>
      </c>
      <c r="I73" t="b">
        <f>AND(K73='PRODUCT 3'!$A$28)</f>
        <v>0</v>
      </c>
      <c r="J73" t="s">
        <v>79</v>
      </c>
      <c r="K73" t="s">
        <v>97</v>
      </c>
      <c r="L73" t="s">
        <v>38</v>
      </c>
      <c r="M73" t="s">
        <v>97</v>
      </c>
    </row>
    <row r="74" spans="1:13">
      <c r="A74" t="b">
        <f>AND(C74='PRODUCT 3'!$D$21,D74='PRODUCT 3'!$C$21,E74='PRODUCT 3'!$A$21)</f>
        <v>0</v>
      </c>
      <c r="B74" t="s">
        <v>61</v>
      </c>
      <c r="C74" t="s">
        <v>68</v>
      </c>
      <c r="D74">
        <v>90</v>
      </c>
      <c r="E74" t="s">
        <v>98</v>
      </c>
      <c r="I74" t="b">
        <f>AND(K74='PRODUCT 3'!$D$28,L74='PRODUCT 3'!$C$28,M74='PRODUCT 3'!$A$28)</f>
        <v>0</v>
      </c>
      <c r="J74" t="s">
        <v>58</v>
      </c>
      <c r="K74" t="s">
        <v>65</v>
      </c>
      <c r="L74">
        <v>90</v>
      </c>
      <c r="M74" t="s">
        <v>98</v>
      </c>
    </row>
    <row r="75" spans="1:13">
      <c r="A75" t="b">
        <f>AND(C75='PRODUCT 3'!$D$21,D75='PRODUCT 3'!$C$21,E75='PRODUCT 3'!$A$21)</f>
        <v>0</v>
      </c>
      <c r="B75" t="s">
        <v>54</v>
      </c>
      <c r="C75" t="s">
        <v>65</v>
      </c>
      <c r="D75" t="s">
        <v>38</v>
      </c>
      <c r="E75" t="s">
        <v>98</v>
      </c>
      <c r="I75" t="b">
        <f>AND(K75='PRODUCT 3'!$D$28,L75='PRODUCT 3'!$C$28,M75='PRODUCT 3'!$A$28)</f>
        <v>0</v>
      </c>
      <c r="J75" t="s">
        <v>59</v>
      </c>
      <c r="K75" t="s">
        <v>67</v>
      </c>
      <c r="L75">
        <v>90</v>
      </c>
      <c r="M75" t="s">
        <v>98</v>
      </c>
    </row>
    <row r="76" spans="1:13">
      <c r="A76" t="b">
        <f>AND(C76='PRODUCT 3'!$D$21,D76='PRODUCT 3'!$C$21,E76='PRODUCT 3'!$A$21)</f>
        <v>0</v>
      </c>
      <c r="B76" t="s">
        <v>76</v>
      </c>
      <c r="C76" t="s">
        <v>65</v>
      </c>
      <c r="D76" t="s">
        <v>38</v>
      </c>
      <c r="E76" t="s">
        <v>92</v>
      </c>
      <c r="I76" t="b">
        <f>AND(K76='PRODUCT 3'!$D$28,L76='PRODUCT 3'!$C$28,M76='PRODUCT 3'!$A$28)</f>
        <v>0</v>
      </c>
      <c r="J76" t="s">
        <v>60</v>
      </c>
      <c r="K76" t="s">
        <v>66</v>
      </c>
      <c r="L76">
        <v>90</v>
      </c>
      <c r="M76" t="s">
        <v>98</v>
      </c>
    </row>
    <row r="77" spans="1:13">
      <c r="A77" t="b">
        <f>AND(C77='PRODUCT 3'!$D$21,D77='PRODUCT 3'!$C$21,E77='PRODUCT 3'!$A$21)</f>
        <v>0</v>
      </c>
      <c r="B77" t="s">
        <v>58</v>
      </c>
      <c r="C77" t="s">
        <v>65</v>
      </c>
      <c r="D77">
        <v>90</v>
      </c>
      <c r="E77" t="s">
        <v>98</v>
      </c>
      <c r="I77" t="b">
        <f>AND(K77='PRODUCT 3'!$D$28,L77='PRODUCT 3'!$C$28,M77='PRODUCT 3'!$A$28)</f>
        <v>0</v>
      </c>
      <c r="J77" t="s">
        <v>61</v>
      </c>
      <c r="K77" t="s">
        <v>68</v>
      </c>
      <c r="L77">
        <v>90</v>
      </c>
      <c r="M77" t="s">
        <v>98</v>
      </c>
    </row>
    <row r="78" spans="1:13">
      <c r="A78" t="b">
        <f>AND(C78='PRODUCT 3'!$D$21,D78='PRODUCT 3'!$C$21,E78='PRODUCT 3'!$A$21)</f>
        <v>0</v>
      </c>
      <c r="B78" t="s">
        <v>73</v>
      </c>
      <c r="C78" t="s">
        <v>65</v>
      </c>
      <c r="D78">
        <v>90</v>
      </c>
      <c r="E78" t="s">
        <v>92</v>
      </c>
      <c r="I78" t="b">
        <f>AND(K78='PRODUCT 3'!$D$28,L78='PRODUCT 3'!$C$28,M78='PRODUCT 3'!$A$28)</f>
        <v>0</v>
      </c>
      <c r="J78" t="s">
        <v>70</v>
      </c>
      <c r="K78" t="s">
        <v>71</v>
      </c>
      <c r="L78">
        <v>90</v>
      </c>
      <c r="M78" t="s">
        <v>98</v>
      </c>
    </row>
    <row r="79" spans="1:13">
      <c r="A79" t="b">
        <f>AND(C79='PRODUCT 3'!$D$21,D79='PRODUCT 3'!$C$21,E79='PRODUCT 3'!$A$21)</f>
        <v>0</v>
      </c>
      <c r="B79" t="s">
        <v>75</v>
      </c>
      <c r="C79" t="s">
        <v>64</v>
      </c>
      <c r="D79" t="s">
        <v>38</v>
      </c>
      <c r="E79" t="s">
        <v>92</v>
      </c>
      <c r="I79" t="b">
        <f>AND(K79='PRODUCT 3'!$D$28,L79='PRODUCT 3'!$C$28,M79='PRODUCT 3'!$A$28)</f>
        <v>0</v>
      </c>
      <c r="J79" t="s">
        <v>62</v>
      </c>
      <c r="K79" t="s">
        <v>63</v>
      </c>
      <c r="L79">
        <v>90</v>
      </c>
      <c r="M79" t="s">
        <v>92</v>
      </c>
    </row>
    <row r="80" spans="1:13">
      <c r="A80" t="b">
        <f>AND(C80='PRODUCT 3'!$D$21,D80='PRODUCT 3'!$C$21,E80='PRODUCT 3'!$A$21)</f>
        <v>0</v>
      </c>
      <c r="B80" t="s">
        <v>72</v>
      </c>
      <c r="C80" t="s">
        <v>64</v>
      </c>
      <c r="D80">
        <v>90</v>
      </c>
      <c r="E80" t="s">
        <v>92</v>
      </c>
      <c r="I80" t="b">
        <f>AND(K80='PRODUCT 3'!$D$28,L80='PRODUCT 3'!$C$28,M80='PRODUCT 3'!$A$28)</f>
        <v>0</v>
      </c>
      <c r="J80" t="s">
        <v>72</v>
      </c>
      <c r="K80" t="s">
        <v>64</v>
      </c>
      <c r="L80">
        <v>90</v>
      </c>
      <c r="M80" t="s">
        <v>92</v>
      </c>
    </row>
    <row r="81" spans="1:13">
      <c r="A81" t="b">
        <f>AND(C81='PRODUCT 3'!$D$21,D81='PRODUCT 3'!$C$21,E81='PRODUCT 3'!$A$21)</f>
        <v>0</v>
      </c>
      <c r="B81" t="s">
        <v>60</v>
      </c>
      <c r="C81" t="s">
        <v>66</v>
      </c>
      <c r="D81">
        <v>90</v>
      </c>
      <c r="E81" t="s">
        <v>98</v>
      </c>
      <c r="I81" t="b">
        <f>AND(K81='PRODUCT 3'!$D$28,L81='PRODUCT 3'!$C$28,M81='PRODUCT 3'!$A$28)</f>
        <v>0</v>
      </c>
      <c r="J81" t="s">
        <v>73</v>
      </c>
      <c r="K81" t="s">
        <v>65</v>
      </c>
      <c r="L81">
        <v>90</v>
      </c>
      <c r="M81" t="s">
        <v>92</v>
      </c>
    </row>
    <row r="82" spans="1:13">
      <c r="A82" t="b">
        <f>AND(C82='PRODUCT 3'!$D$21,D82='PRODUCT 3'!$C$21,E82='PRODUCT 3'!$A$21)</f>
        <v>0</v>
      </c>
      <c r="B82" t="s">
        <v>44</v>
      </c>
      <c r="C82" t="s">
        <v>44</v>
      </c>
      <c r="D82" t="s">
        <v>44</v>
      </c>
      <c r="E82" t="s">
        <v>93</v>
      </c>
      <c r="I82" t="b">
        <f>AND(K82='PRODUCT 3'!$D$28,L82='PRODUCT 3'!$C$28,M82='PRODUCT 3'!$A$28)</f>
        <v>0</v>
      </c>
      <c r="J82" t="s">
        <v>77</v>
      </c>
      <c r="K82" t="s">
        <v>63</v>
      </c>
      <c r="L82">
        <v>90</v>
      </c>
      <c r="M82" t="s">
        <v>91</v>
      </c>
    </row>
    <row r="83" spans="1:13">
      <c r="A83" t="b">
        <f>AND(C83='PRODUCT 3'!$A$21)</f>
        <v>0</v>
      </c>
      <c r="B83" t="s">
        <v>79</v>
      </c>
      <c r="C83" t="s">
        <v>97</v>
      </c>
      <c r="I83" t="b">
        <f>AND(J83='PRODUCT 2'!$A$28)</f>
        <v>0</v>
      </c>
      <c r="J83" t="s">
        <v>101</v>
      </c>
    </row>
  </sheetData>
  <sortState xmlns:xlrd2="http://schemas.microsoft.com/office/spreadsheetml/2017/richdata2" ref="B16:F35">
    <sortCondition ref="C16:C3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X 5 6 U d Q Y k W G k A A A A 9 Q A A A B I A H A B D b 2 5 m a W c v U G F j a 2 F n Z S 5 4 b W w g o h g A K K A U A A A A A A A A A A A A A A A A A A A A A A A A A A A A h Y 8 x D o I w G I W v Q r r T 1 h q V k J 8 y u E p i Q j S u T a n Q C M X Q Y r m b g 0 f y C m I U d X N 8 3 / u G 9 + 7 X G 6 R D U w c X 1 V n d m g T N M E W B M r I t t C k T 1 L t j G K G U w 1 b I k y h V M M r G x o M t E l Q 5 d 4 4 J 8 d 5 j P 8 d t V x J G 6 Y w c s k 0 u K 9 U I 9 J H 1 f z n U x j p h p E I c 9 q 8 x n O F o i V d s g S m Q i U G m z b d n 4 9 x n + w N h 3 d e u 7 x R X J t z l Q K Y I 5 H 2 B P w B Q S w M E F A A C A A g A x X 5 6 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e l E o i k e 4 D g A A A B E A A A A T A B w A R m 9 y b X V s Y X M v U 2 V j d G l v b j E u b S C i G A A o o B Q A A A A A A A A A A A A A A A A A A A A A A A A A A A A r T k 0 u y c z P U w i G 0 I b W A F B L A Q I t A B Q A A g A I A M V + e l H U G J F h p A A A A P U A A A A S A A A A A A A A A A A A A A A A A A A A A A B D b 2 5 m a W c v U G F j a 2 F n Z S 5 4 b W x Q S w E C L Q A U A A I A C A D F f n p R D 8 r p q 6 Q A A A D p A A A A E w A A A A A A A A A A A A A A A A D w A A A A W 0 N v b n R l b n R f V H l w Z X N d L n h t b F B L A Q I t A B Q A A g A I A M V + e l 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p z G g K V Z U I S J R C t S f 7 i P C l A A A A A A I A A A A A A A N m A A D A A A A A E A A A A H Q N Z S f g 4 d W T w s t F Y X l k M 2 I A A A A A B I A A A K A A A A A Q A A A A E 3 1 1 6 2 O Q r / j H E y 3 Z Z 8 m I X 1 A A A A C c 6 k 6 f 8 D Y 9 G f F P S v K z b z 6 1 J 1 l P N V U e c v e o u i z 6 + a D G 8 l 8 f U l M U 2 w 4 H B w 0 w H U Y B Q E e D t E D z c S r g L l / y 0 1 p t F O U A W k u Z i s L 1 h I K K C N K z c v H d b x Q A A A D u L T s 2 c g s E A b X R 5 1 V o h b j v J 5 h x e A = = < / D a t a M a s h u p > 
</file>

<file path=customXml/itemProps1.xml><?xml version="1.0" encoding="utf-8"?>
<ds:datastoreItem xmlns:ds="http://schemas.openxmlformats.org/officeDocument/2006/customXml" ds:itemID="{6FD8C55E-6090-450E-9576-5A9531443FA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Instructions</vt:lpstr>
      <vt:lpstr>PRODUCT 1</vt:lpstr>
      <vt:lpstr>PRODUCT 2</vt:lpstr>
      <vt:lpstr>PRODUCT 3</vt:lpstr>
      <vt:lpstr>Flow Indicator Parts List</vt:lpstr>
      <vt:lpstr>Parts List Seperate Manifolds</vt:lpstr>
      <vt:lpstr>Metering Orifice List Sheet</vt:lpstr>
      <vt:lpstr>Manifold Builder</vt:lpstr>
      <vt:lpstr>AdministrationPage</vt:lpstr>
      <vt:lpstr>CurrencyModifier</vt:lpstr>
      <vt:lpstr>Prices</vt:lpstr>
      <vt:lpstr>CenterFeedOptions_query</vt:lpstr>
      <vt:lpstr>currency</vt:lpstr>
      <vt:lpstr>flowcolumn</vt:lpstr>
      <vt:lpstr>Flowrates</vt:lpstr>
      <vt:lpstr>hosebarbs</vt:lpstr>
      <vt:lpstr>Hosebarbs90</vt:lpstr>
      <vt:lpstr>HoseBarbsStraight</vt:lpstr>
      <vt:lpstr>InletOrientation_query</vt:lpstr>
      <vt:lpstr>InletSizes_query</vt:lpstr>
      <vt:lpstr>InletTypes_query</vt:lpstr>
      <vt:lpstr>MeteringReqd_query</vt:lpstr>
      <vt:lpstr>NoOutlets_options</vt:lpstr>
      <vt:lpstr>NoOutletsRequiredNoOutletsRequired</vt:lpstr>
      <vt:lpstr>outletorientation</vt:lpstr>
      <vt:lpstr>OutletOrientation_query</vt:lpstr>
      <vt:lpstr>outletpart</vt:lpstr>
      <vt:lpstr>outletsize</vt:lpstr>
      <vt:lpstr>OutletSize_query</vt:lpstr>
      <vt:lpstr>outlettype</vt:lpstr>
      <vt:lpstr>OutletType_query</vt:lpstr>
      <vt:lpstr>'Flow Indicator Parts List'!Print_Area</vt:lpstr>
      <vt:lpstr>'Parts List Seperate Manifolds'!Print_Area</vt:lpstr>
      <vt:lpstr>'PRODUCT 1'!Print_Area</vt:lpstr>
      <vt:lpstr>'PRODUCT 2'!Print_Area</vt:lpstr>
      <vt:lpstr>'PRODUCT 3'!Print_Area</vt:lpstr>
      <vt:lpstr>pushintube</vt:lpstr>
      <vt:lpstr>PushInTube90</vt:lpstr>
      <vt:lpstr>PushInTubeStraight</vt:lpstr>
      <vt:lpstr>SquareLug_options</vt:lpstr>
      <vt:lpstr>squarelugport</vt:lpstr>
      <vt:lpstr>SquareLugPortSquareLugPort</vt:lpstr>
      <vt:lpstr>ThreadedFemale</vt:lpstr>
      <vt:lpstr>ThreadedFemale90</vt:lpstr>
      <vt:lpstr>ThreadedFemaleStraight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Olenick</dc:creator>
  <cp:lastModifiedBy>Lucas Olenick</cp:lastModifiedBy>
  <cp:lastPrinted>2022-01-25T17:30:50Z</cp:lastPrinted>
  <dcterms:created xsi:type="dcterms:W3CDTF">2020-11-25T13:41:30Z</dcterms:created>
  <dcterms:modified xsi:type="dcterms:W3CDTF">2022-08-11T16:26:31Z</dcterms:modified>
</cp:coreProperties>
</file>